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9B9907E5-6255-4618-9E83-B50BA196342E}" xr6:coauthVersionLast="47" xr6:coauthVersionMax="47" xr10:uidLastSave="{00000000-0000-0000-0000-000000000000}"/>
  <bookViews>
    <workbookView xWindow="-120" yWindow="-120" windowWidth="29040" windowHeight="15990" activeTab="6" xr2:uid="{00000000-000D-0000-FFFF-FFFF00000000}"/>
  </bookViews>
  <sheets>
    <sheet name="Enthalpy and Density" sheetId="2" r:id="rId1"/>
    <sheet name="Sheet3" sheetId="5" r:id="rId2"/>
    <sheet name="Answer Report 1" sheetId="7" r:id="rId3"/>
    <sheet name="Sensitivity Report 1" sheetId="8" r:id="rId4"/>
    <sheet name="Limits Report 1" sheetId="9" r:id="rId5"/>
    <sheet name="Answer Report 2" sheetId="10" r:id="rId6"/>
    <sheet name="Example 1" sheetId="1" r:id="rId7"/>
  </sheets>
  <definedNames>
    <definedName name="A">'Example 1'!$C$23</definedName>
    <definedName name="c_1">'Example 1'!$C$118</definedName>
    <definedName name="c_2">'Example 1'!$C$160</definedName>
    <definedName name="cp">'Example 1'!$C$11</definedName>
    <definedName name="D">'Example 1'!$C$19</definedName>
    <definedName name="f">'Example 1'!$C$25</definedName>
    <definedName name="Gam">'Example 1'!$C$5</definedName>
    <definedName name="gc">'Example 1'!$C$6</definedName>
    <definedName name="h_1">'Example 1'!$C$126</definedName>
    <definedName name="h_2">'Example 1'!$C$158</definedName>
    <definedName name="ho_1">'Example 1'!$C$128</definedName>
    <definedName name="ho_2">'Example 1'!$C$139</definedName>
    <definedName name="L">'Example 1'!$C$15</definedName>
    <definedName name="M_1">'Example 1'!$C$79</definedName>
    <definedName name="M_2">'Example 1'!$C$58</definedName>
    <definedName name="M1x">'Example 1'!#REF!</definedName>
    <definedName name="M2x">'Example 1'!#REF!</definedName>
    <definedName name="mdot">'Example 1'!$C$37</definedName>
    <definedName name="P_1">'Example 1'!$C$109</definedName>
    <definedName name="P_2">'Example 1'!$C$145</definedName>
    <definedName name="Po_1">'Example 1'!$C$100</definedName>
    <definedName name="Po_2">'Example 1'!$C$46</definedName>
    <definedName name="Rg">'Example 1'!$C$3</definedName>
    <definedName name="rho_1">'Example 1'!$C$114</definedName>
    <definedName name="rho_2">'Example 1'!$C$153</definedName>
    <definedName name="solver_adj" localSheetId="6" hidden="1">'Example 1'!$C$79:$C$79</definedName>
    <definedName name="solver_adj" localSheetId="1" hidden="1">Sheet3!$B$2:$D$4</definedName>
    <definedName name="solver_cvg" localSheetId="6" hidden="1">0.0001</definedName>
    <definedName name="solver_cvg" localSheetId="1" hidden="1">0.0001</definedName>
    <definedName name="solver_drv" localSheetId="6" hidden="1">2</definedName>
    <definedName name="solver_drv" localSheetId="1" hidden="1">2</definedName>
    <definedName name="solver_eng" localSheetId="6" hidden="1">1</definedName>
    <definedName name="solver_eng" localSheetId="1" hidden="1">1</definedName>
    <definedName name="solver_est" localSheetId="6" hidden="1">1</definedName>
    <definedName name="solver_est" localSheetId="1" hidden="1">1</definedName>
    <definedName name="solver_itr" localSheetId="6" hidden="1">2147483647</definedName>
    <definedName name="solver_itr" localSheetId="1" hidden="1">2147483647</definedName>
    <definedName name="solver_lhs1" localSheetId="6" hidden="1">'Example 1'!$C$79</definedName>
    <definedName name="solver_lhs1" localSheetId="1" hidden="1">Sheet3!$B$2:$D$4</definedName>
    <definedName name="solver_lhs2" localSheetId="6" hidden="1">'Example 1'!$C$79</definedName>
    <definedName name="solver_lhs2" localSheetId="1" hidden="1">Sheet3!$B$2:$D$4</definedName>
    <definedName name="solver_lhs3" localSheetId="6" hidden="1">'Example 1'!$C$58</definedName>
    <definedName name="solver_lhs3" localSheetId="1" hidden="1">Sheet3!$B$5:$D$5</definedName>
    <definedName name="solver_lhs4" localSheetId="6" hidden="1">'Example 1'!$C$58</definedName>
    <definedName name="solver_lhs4" localSheetId="1" hidden="1">Sheet3!$B$7:$B$8</definedName>
    <definedName name="solver_lhs5" localSheetId="6" hidden="1">'Example 1'!$C$58</definedName>
    <definedName name="solver_lhs5" localSheetId="1" hidden="1">Sheet3!$E$2:$E$4</definedName>
    <definedName name="solver_mip" localSheetId="6" hidden="1">2147483647</definedName>
    <definedName name="solver_mip" localSheetId="1" hidden="1">2147483647</definedName>
    <definedName name="solver_mni" localSheetId="6" hidden="1">30</definedName>
    <definedName name="solver_mni" localSheetId="1" hidden="1">30</definedName>
    <definedName name="solver_mrt" localSheetId="6" hidden="1">0.075</definedName>
    <definedName name="solver_mrt" localSheetId="1" hidden="1">0.075</definedName>
    <definedName name="solver_msl" localSheetId="6" hidden="1">2</definedName>
    <definedName name="solver_msl" localSheetId="1" hidden="1">2</definedName>
    <definedName name="solver_neg" localSheetId="6" hidden="1">1</definedName>
    <definedName name="solver_neg" localSheetId="1" hidden="1">1</definedName>
    <definedName name="solver_nod" localSheetId="6" hidden="1">2147483647</definedName>
    <definedName name="solver_nod" localSheetId="1" hidden="1">2147483647</definedName>
    <definedName name="solver_num" localSheetId="6" hidden="1">3</definedName>
    <definedName name="solver_num" localSheetId="1" hidden="1">5</definedName>
    <definedName name="solver_nwt" localSheetId="6" hidden="1">1</definedName>
    <definedName name="solver_nwt" localSheetId="1" hidden="1">1</definedName>
    <definedName name="solver_opt" localSheetId="6" hidden="1">'Example 1'!#REF!</definedName>
    <definedName name="solver_pre" localSheetId="6" hidden="1">0.000001</definedName>
    <definedName name="solver_pre" localSheetId="1" hidden="1">0.000001</definedName>
    <definedName name="solver_rbv" localSheetId="6" hidden="1">2</definedName>
    <definedName name="solver_rbv" localSheetId="1" hidden="1">2</definedName>
    <definedName name="solver_rel1" localSheetId="6" hidden="1">1</definedName>
    <definedName name="solver_rel1" localSheetId="1" hidden="1">6</definedName>
    <definedName name="solver_rel2" localSheetId="6" hidden="1">3</definedName>
    <definedName name="solver_rel2" localSheetId="1" hidden="1">4</definedName>
    <definedName name="solver_rel3" localSheetId="6" hidden="1">1</definedName>
    <definedName name="solver_rel3" localSheetId="1" hidden="1">2</definedName>
    <definedName name="solver_rel4" localSheetId="6" hidden="1">1</definedName>
    <definedName name="solver_rel4" localSheetId="1" hidden="1">2</definedName>
    <definedName name="solver_rel5" localSheetId="6" hidden="1">3</definedName>
    <definedName name="solver_rel5" localSheetId="1" hidden="1">2</definedName>
    <definedName name="solver_rhs1" localSheetId="6" hidden="1">M_2</definedName>
    <definedName name="solver_rhs1" localSheetId="1" hidden="1">"AllDifferent"</definedName>
    <definedName name="solver_rhs2" localSheetId="6" hidden="1">0</definedName>
    <definedName name="solver_rhs2" localSheetId="1" hidden="1">"integer"</definedName>
    <definedName name="solver_rhs3" localSheetId="6" hidden="1">1</definedName>
    <definedName name="solver_rhs3" localSheetId="1" hidden="1">15</definedName>
    <definedName name="solver_rhs4" localSheetId="6" hidden="1">1</definedName>
    <definedName name="solver_rhs4" localSheetId="1" hidden="1">15</definedName>
    <definedName name="solver_rhs5" localSheetId="6" hidden="1">M_1</definedName>
    <definedName name="solver_rhs5" localSheetId="1" hidden="1">15</definedName>
    <definedName name="solver_rlx" localSheetId="6" hidden="1">2</definedName>
    <definedName name="solver_rlx" localSheetId="1" hidden="1">2</definedName>
    <definedName name="solver_rsd" localSheetId="6" hidden="1">0</definedName>
    <definedName name="solver_rsd" localSheetId="1" hidden="1">0</definedName>
    <definedName name="solver_scl" localSheetId="6" hidden="1">2</definedName>
    <definedName name="solver_scl" localSheetId="1" hidden="1">2</definedName>
    <definedName name="solver_sho" localSheetId="6" hidden="1">2</definedName>
    <definedName name="solver_sho" localSheetId="4" hidden="1">2</definedName>
    <definedName name="solver_sho" localSheetId="1" hidden="1">2</definedName>
    <definedName name="solver_ssz" localSheetId="6" hidden="1">100</definedName>
    <definedName name="solver_ssz" localSheetId="1" hidden="1">100</definedName>
    <definedName name="solver_tim" localSheetId="6" hidden="1">2147483647</definedName>
    <definedName name="solver_tim" localSheetId="1" hidden="1">2147483647</definedName>
    <definedName name="solver_tol" localSheetId="6" hidden="1">0.01</definedName>
    <definedName name="solver_tol" localSheetId="1" hidden="1">0.01</definedName>
    <definedName name="solver_typ" localSheetId="6" hidden="1">2</definedName>
    <definedName name="solver_typ" localSheetId="1" hidden="1">1</definedName>
    <definedName name="solver_val" localSheetId="6" hidden="1">0</definedName>
    <definedName name="solver_val" localSheetId="1" hidden="1">0</definedName>
    <definedName name="solver_ver" localSheetId="6" hidden="1">3</definedName>
    <definedName name="solver_ver" localSheetId="1" hidden="1">3</definedName>
    <definedName name="T_1">'Example 1'!$C$111</definedName>
    <definedName name="T_2">'Example 1'!$C$147</definedName>
    <definedName name="To_1">'Example 1'!$C$41</definedName>
    <definedName name="To_2">'Example 1'!$C$50</definedName>
    <definedName name="V_1">'Example 1'!$C$116</definedName>
    <definedName name="V_2">'Example 1'!$C$155</definedName>
    <definedName name="Z">'Example 1'!$C$42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6" i="1" l="1"/>
  <c r="C110" i="1"/>
  <c r="C101" i="1"/>
  <c r="C47" i="1"/>
  <c r="C100" i="1" l="1"/>
  <c r="C59" i="1"/>
  <c r="B8" i="5" l="1"/>
  <c r="B7" i="5"/>
  <c r="C5" i="5"/>
  <c r="D5" i="5"/>
  <c r="B5" i="5"/>
  <c r="E3" i="5"/>
  <c r="E4" i="5"/>
  <c r="E2" i="5"/>
  <c r="C85" i="1" l="1"/>
  <c r="B161" i="1" l="1"/>
  <c r="B159" i="1"/>
  <c r="B156" i="1"/>
  <c r="B154" i="1"/>
  <c r="B52" i="1"/>
  <c r="B47" i="1"/>
  <c r="B149" i="1"/>
  <c r="B146" i="1"/>
  <c r="B140" i="1"/>
  <c r="B129" i="1"/>
  <c r="B127" i="1"/>
  <c r="B119" i="1"/>
  <c r="B117" i="1"/>
  <c r="B115" i="1"/>
  <c r="B113" i="1"/>
  <c r="B110" i="1"/>
  <c r="C40" i="1" l="1"/>
  <c r="C18" i="1"/>
  <c r="C22" i="1" s="1"/>
  <c r="C21" i="1"/>
  <c r="C23" i="1" s="1"/>
  <c r="C19" i="1"/>
  <c r="C16" i="1"/>
  <c r="C12" i="1"/>
  <c r="C4" i="1"/>
  <c r="S44" i="2"/>
  <c r="T43" i="2"/>
  <c r="S43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I6" i="2"/>
  <c r="D6" i="2"/>
  <c r="M7" i="2"/>
  <c r="P7" i="2"/>
  <c r="M8" i="2"/>
  <c r="P8" i="2"/>
  <c r="M9" i="2"/>
  <c r="P9" i="2"/>
  <c r="M10" i="2"/>
  <c r="P10" i="2"/>
  <c r="M11" i="2"/>
  <c r="P11" i="2"/>
  <c r="M12" i="2"/>
  <c r="P12" i="2"/>
  <c r="M13" i="2"/>
  <c r="P13" i="2"/>
  <c r="M14" i="2"/>
  <c r="P14" i="2"/>
  <c r="M15" i="2"/>
  <c r="P15" i="2"/>
  <c r="M16" i="2"/>
  <c r="P16" i="2"/>
  <c r="M17" i="2"/>
  <c r="P17" i="2"/>
  <c r="M18" i="2"/>
  <c r="P18" i="2"/>
  <c r="M19" i="2"/>
  <c r="P19" i="2"/>
  <c r="M20" i="2"/>
  <c r="P20" i="2"/>
  <c r="M21" i="2"/>
  <c r="P21" i="2"/>
  <c r="M22" i="2"/>
  <c r="P22" i="2"/>
  <c r="M23" i="2"/>
  <c r="P23" i="2"/>
  <c r="M24" i="2"/>
  <c r="P24" i="2"/>
  <c r="M25" i="2"/>
  <c r="P25" i="2"/>
  <c r="M26" i="2"/>
  <c r="P26" i="2"/>
  <c r="M27" i="2"/>
  <c r="P27" i="2"/>
  <c r="M28" i="2"/>
  <c r="P28" i="2"/>
  <c r="M29" i="2"/>
  <c r="P29" i="2"/>
  <c r="M30" i="2"/>
  <c r="P30" i="2"/>
  <c r="M31" i="2"/>
  <c r="P31" i="2"/>
  <c r="M32" i="2"/>
  <c r="P32" i="2"/>
  <c r="M33" i="2"/>
  <c r="P33" i="2"/>
  <c r="M34" i="2"/>
  <c r="P34" i="2"/>
  <c r="M35" i="2"/>
  <c r="P35" i="2"/>
  <c r="M36" i="2"/>
  <c r="P36" i="2"/>
  <c r="M37" i="2"/>
  <c r="P37" i="2"/>
  <c r="M38" i="2"/>
  <c r="P38" i="2"/>
  <c r="M39" i="2"/>
  <c r="P39" i="2"/>
  <c r="M40" i="2"/>
  <c r="P40" i="2"/>
  <c r="M41" i="2"/>
  <c r="P41" i="2"/>
  <c r="P6" i="2"/>
  <c r="O6" i="2"/>
  <c r="M6" i="2"/>
  <c r="L6" i="2"/>
  <c r="O5" i="2"/>
  <c r="P5" i="2"/>
  <c r="P4" i="2"/>
  <c r="O4" i="2"/>
  <c r="M4" i="2"/>
  <c r="L4" i="2"/>
  <c r="O3" i="2"/>
  <c r="O2" i="2"/>
  <c r="L3" i="2"/>
  <c r="L2" i="2"/>
  <c r="G52" i="2"/>
  <c r="B52" i="2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O41" i="2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L41" i="2" s="1"/>
  <c r="C41" i="1"/>
  <c r="C50" i="1" s="1"/>
  <c r="C109" i="1"/>
  <c r="C38" i="1" l="1"/>
  <c r="C111" i="1"/>
  <c r="C112" i="1" s="1"/>
  <c r="C113" i="1" s="1"/>
  <c r="C20" i="1"/>
  <c r="C24" i="1" s="1"/>
  <c r="C83" i="1"/>
  <c r="C87" i="1" s="1"/>
  <c r="D7" i="2"/>
  <c r="D17" i="2"/>
  <c r="I7" i="2"/>
  <c r="I8" i="2"/>
  <c r="I9" i="2"/>
  <c r="I18" i="2"/>
  <c r="I19" i="2"/>
  <c r="I20" i="2"/>
  <c r="D31" i="2"/>
  <c r="I30" i="2"/>
  <c r="D30" i="2"/>
  <c r="I31" i="2"/>
  <c r="D18" i="2"/>
  <c r="D19" i="2"/>
  <c r="D16" i="2"/>
  <c r="D39" i="2"/>
  <c r="D27" i="2"/>
  <c r="D15" i="2"/>
  <c r="I10" i="2"/>
  <c r="I22" i="2"/>
  <c r="I34" i="2"/>
  <c r="I32" i="2"/>
  <c r="D40" i="2"/>
  <c r="D38" i="2"/>
  <c r="D26" i="2"/>
  <c r="D14" i="2"/>
  <c r="I11" i="2"/>
  <c r="I23" i="2"/>
  <c r="I35" i="2"/>
  <c r="D37" i="2"/>
  <c r="D25" i="2"/>
  <c r="D13" i="2"/>
  <c r="I12" i="2"/>
  <c r="I24" i="2"/>
  <c r="I36" i="2"/>
  <c r="D36" i="2"/>
  <c r="D24" i="2"/>
  <c r="D12" i="2"/>
  <c r="I13" i="2"/>
  <c r="I25" i="2"/>
  <c r="I37" i="2"/>
  <c r="D35" i="2"/>
  <c r="D23" i="2"/>
  <c r="D11" i="2"/>
  <c r="I14" i="2"/>
  <c r="I26" i="2"/>
  <c r="I38" i="2"/>
  <c r="D34" i="2"/>
  <c r="D22" i="2"/>
  <c r="D10" i="2"/>
  <c r="I15" i="2"/>
  <c r="I27" i="2"/>
  <c r="I39" i="2"/>
  <c r="D41" i="2"/>
  <c r="D28" i="2"/>
  <c r="I21" i="2"/>
  <c r="D33" i="2"/>
  <c r="D21" i="2"/>
  <c r="D9" i="2"/>
  <c r="I16" i="2"/>
  <c r="I28" i="2"/>
  <c r="I40" i="2"/>
  <c r="D29" i="2"/>
  <c r="I33" i="2"/>
  <c r="D32" i="2"/>
  <c r="D20" i="2"/>
  <c r="D8" i="2"/>
  <c r="I17" i="2"/>
  <c r="I29" i="2"/>
  <c r="I41" i="2"/>
  <c r="O14" i="2"/>
  <c r="O20" i="2"/>
  <c r="O29" i="2"/>
  <c r="O8" i="2"/>
  <c r="O23" i="2"/>
  <c r="O17" i="2"/>
  <c r="O32" i="2"/>
  <c r="O35" i="2"/>
  <c r="O11" i="2"/>
  <c r="O26" i="2"/>
  <c r="L26" i="2"/>
  <c r="L17" i="2"/>
  <c r="L14" i="2"/>
  <c r="L11" i="2"/>
  <c r="L8" i="2"/>
  <c r="O38" i="2"/>
  <c r="L32" i="2"/>
  <c r="L38" i="2"/>
  <c r="O40" i="2"/>
  <c r="O37" i="2"/>
  <c r="O34" i="2"/>
  <c r="O31" i="2"/>
  <c r="O28" i="2"/>
  <c r="O25" i="2"/>
  <c r="O22" i="2"/>
  <c r="O19" i="2"/>
  <c r="O16" i="2"/>
  <c r="O13" i="2"/>
  <c r="O10" i="2"/>
  <c r="O7" i="2"/>
  <c r="L23" i="2"/>
  <c r="L40" i="2"/>
  <c r="L37" i="2"/>
  <c r="L34" i="2"/>
  <c r="L31" i="2"/>
  <c r="L28" i="2"/>
  <c r="L25" i="2"/>
  <c r="L22" i="2"/>
  <c r="L19" i="2"/>
  <c r="L16" i="2"/>
  <c r="L13" i="2"/>
  <c r="L10" i="2"/>
  <c r="L7" i="2"/>
  <c r="L29" i="2"/>
  <c r="L35" i="2"/>
  <c r="O39" i="2"/>
  <c r="O36" i="2"/>
  <c r="O33" i="2"/>
  <c r="O30" i="2"/>
  <c r="O27" i="2"/>
  <c r="O24" i="2"/>
  <c r="O21" i="2"/>
  <c r="O18" i="2"/>
  <c r="O15" i="2"/>
  <c r="O12" i="2"/>
  <c r="O9" i="2"/>
  <c r="L20" i="2"/>
  <c r="L39" i="2"/>
  <c r="L36" i="2"/>
  <c r="L33" i="2"/>
  <c r="L30" i="2"/>
  <c r="L27" i="2"/>
  <c r="L24" i="2"/>
  <c r="L21" i="2"/>
  <c r="L18" i="2"/>
  <c r="L15" i="2"/>
  <c r="L12" i="2"/>
  <c r="L9" i="2"/>
  <c r="C145" i="1"/>
  <c r="C114" i="1" l="1"/>
  <c r="C115" i="1" s="1"/>
  <c r="C126" i="1"/>
  <c r="C127" i="1" s="1"/>
  <c r="C147" i="1"/>
  <c r="C51" i="1" l="1"/>
  <c r="C52" i="1" s="1"/>
  <c r="C61" i="1"/>
  <c r="C64" i="1" s="1"/>
  <c r="C153" i="1"/>
  <c r="C154" i="1" s="1"/>
  <c r="C148" i="1"/>
  <c r="C149" i="1" s="1"/>
  <c r="C155" i="1" l="1"/>
  <c r="C160" i="1" s="1"/>
  <c r="C161" i="1" s="1"/>
  <c r="C116" i="1"/>
  <c r="C118" i="1" s="1"/>
  <c r="C119" i="1" s="1"/>
  <c r="C62" i="1"/>
  <c r="C156" i="1" l="1"/>
  <c r="C128" i="1"/>
  <c r="C129" i="1" s="1"/>
  <c r="C117" i="1"/>
  <c r="C139" i="1" l="1"/>
  <c r="C158" i="1" s="1"/>
  <c r="C159" i="1" s="1"/>
  <c r="C140" i="1" l="1"/>
</calcChain>
</file>

<file path=xl/sharedStrings.xml><?xml version="1.0" encoding="utf-8"?>
<sst xmlns="http://schemas.openxmlformats.org/spreadsheetml/2006/main" count="329" uniqueCount="171">
  <si>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</si>
  <si>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</si>
  <si>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</si>
  <si>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</si>
  <si>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</si>
  <si>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</si>
  <si>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</si>
  <si>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</si>
  <si>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</si>
  <si>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</si>
  <si>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</si>
  <si>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</si>
  <si>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</si>
  <si>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</si>
  <si>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</si>
  <si>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</si>
  <si>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</si>
  <si>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</si>
  <si>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</si>
  <si>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</si>
  <si>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f(M)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</si>
  <si>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</si>
  <si>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</si>
  <si>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</si>
  <si>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</si>
  <si>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</si>
  <si>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</si>
  <si>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</si>
  <si>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</si>
  <si>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</si>
  <si>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</si>
  <si>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</si>
  <si>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</si>
  <si>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</si>
  <si>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</si>
  <si>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</si>
  <si>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</si>
  <si>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</si>
  <si>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Po1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</si>
  <si>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</si>
  <si>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</si>
  <si>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</si>
  <si>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</si>
  <si>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</si>
  <si>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</si>
  <si>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</si>
  <si>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</si>
  <si>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</si>
  <si>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</si>
  <si>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</si>
  <si>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</si>
  <si>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</si>
  <si>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</si>
  <si>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</si>
  <si>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</si>
  <si>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</si>
  <si>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</si>
  <si>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</si>
  <si>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</si>
  <si>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</si>
  <si>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</si>
  <si>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a</t>
  </si>
  <si>
    <t>Heat Conversion</t>
  </si>
  <si>
    <t>Convert Btu to lbf-ft</t>
  </si>
  <si>
    <t>Weight-Mass conversion</t>
  </si>
  <si>
    <t>cm</t>
  </si>
  <si>
    <t>sq cm</t>
  </si>
  <si>
    <t>sq m</t>
  </si>
  <si>
    <t>deg F</t>
  </si>
  <si>
    <t>Enthalpy</t>
  </si>
  <si>
    <t>Pressure =</t>
  </si>
  <si>
    <t>b</t>
  </si>
  <si>
    <t>c</t>
  </si>
  <si>
    <t>T</t>
  </si>
  <si>
    <t>h</t>
  </si>
  <si>
    <t>d</t>
  </si>
  <si>
    <t>English Units</t>
  </si>
  <si>
    <t>Metric Units</t>
  </si>
  <si>
    <t>kPa</t>
  </si>
  <si>
    <t>deg C</t>
  </si>
  <si>
    <t>kJ/kg</t>
  </si>
  <si>
    <t>kg/s</t>
  </si>
  <si>
    <t>Test</t>
  </si>
  <si>
    <t>Density</t>
  </si>
  <si>
    <t>cp</t>
  </si>
  <si>
    <t>Isentropic Expansion Coef., Gamma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</si>
  <si>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</si>
  <si>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</si>
  <si>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</si>
  <si>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</si>
  <si>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</si>
  <si>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</si>
  <si>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</si>
  <si>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</si>
  <si>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</si>
  <si>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</si>
  <si>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</si>
  <si>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</si>
  <si>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</si>
  <si>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</si>
  <si>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</si>
  <si>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</si>
  <si>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</si>
  <si>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</si>
  <si>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Actual</t>
  </si>
  <si>
    <t>1. Flow is adiabatic and horizontal - stagnation enthalpy is constant - also if gas is calorically perfect then stagnation temperature is also constant</t>
  </si>
  <si>
    <t>OBJ</t>
  </si>
  <si>
    <t>Microsoft Excel 16.0 Answer Report</t>
  </si>
  <si>
    <t>Worksheet: [Lumped Adiabatic Example - Example 1a Not Choked.xlsx]Example 1</t>
  </si>
  <si>
    <t>Result: Solver found a solution.  All Constraints and optimality conditions are satisfied.</t>
  </si>
  <si>
    <t>Solver Engine</t>
  </si>
  <si>
    <t>Engine: GRG Nonlinear</t>
  </si>
  <si>
    <t>Solver Options</t>
  </si>
  <si>
    <t>Max Time Unlimited,  Iterations Unlimited, Precision 0.000001</t>
  </si>
  <si>
    <t xml:space="preserve"> Convergence 0.0001, Population Size 100, Random Seed 0, Derivatives Central</t>
  </si>
  <si>
    <t>Max Subproblems Unlimited, Max Integer Sols Unlimited, Integer Tolerance 1%, Assume NonNegative</t>
  </si>
  <si>
    <t>Objective Cell (Min)</t>
  </si>
  <si>
    <t>Cell</t>
  </si>
  <si>
    <t>Name</t>
  </si>
  <si>
    <t>Original Value</t>
  </si>
  <si>
    <t>Final Value</t>
  </si>
  <si>
    <t>Variable Cells</t>
  </si>
  <si>
    <t>Integer</t>
  </si>
  <si>
    <t>Constraints</t>
  </si>
  <si>
    <t>Cell Value</t>
  </si>
  <si>
    <t>Formula</t>
  </si>
  <si>
    <t>Status</t>
  </si>
  <si>
    <t>Slack</t>
  </si>
  <si>
    <t>$C$46</t>
  </si>
  <si>
    <t>M_1</t>
  </si>
  <si>
    <t>Contin</t>
  </si>
  <si>
    <t>M_2</t>
  </si>
  <si>
    <t>Not Binding</t>
  </si>
  <si>
    <t>$C$46&gt;=0</t>
  </si>
  <si>
    <t>Binding</t>
  </si>
  <si>
    <t>Report Created: 1/26/2024 12:08:09 PM</t>
  </si>
  <si>
    <t>Solution Time: 0.14 Seconds.</t>
  </si>
  <si>
    <t>Iterations: 5 Subproblems: 0</t>
  </si>
  <si>
    <t>$C$63</t>
  </si>
  <si>
    <t>$C$47</t>
  </si>
  <si>
    <t>$C$47&lt;=1</t>
  </si>
  <si>
    <t>Microsoft Excel 16.0 Sensitivity Report</t>
  </si>
  <si>
    <t>Final</t>
  </si>
  <si>
    <t>Value</t>
  </si>
  <si>
    <t>Reduced</t>
  </si>
  <si>
    <t>Gradient</t>
  </si>
  <si>
    <t>NONE</t>
  </si>
  <si>
    <t>Microsoft Excel 16.0 Limits Report</t>
  </si>
  <si>
    <t>Objective</t>
  </si>
  <si>
    <t>Variable</t>
  </si>
  <si>
    <t>Lower</t>
  </si>
  <si>
    <t>Limit</t>
  </si>
  <si>
    <t>Result</t>
  </si>
  <si>
    <t>Upper</t>
  </si>
  <si>
    <t>Report Created: 1/26/2024 12:09:52 PM</t>
  </si>
  <si>
    <t>Solution Time: 0.047 Seconds.</t>
  </si>
  <si>
    <t>Iterations: 1 Subproblems: 0</t>
  </si>
  <si>
    <t>EQUATION 1</t>
  </si>
  <si>
    <t>EQUATION 2</t>
  </si>
  <si>
    <t>Using current M1 and M2 in Eq. 1</t>
  </si>
  <si>
    <t xml:space="preserve">fL/D </t>
  </si>
  <si>
    <t>(RHS of Eq 1)</t>
  </si>
  <si>
    <t>based on M2</t>
  </si>
  <si>
    <t>mdot differrence</t>
  </si>
  <si>
    <t>mdot based on M2</t>
  </si>
  <si>
    <t>1. First, we know that To2 = To1 since the flow is adiabatic and air is acting as a calorically perfect gas</t>
  </si>
  <si>
    <t>2. Therefore, once we know Po_2 and To_2 we can solve for M2 by goal seeking</t>
  </si>
  <si>
    <t>3. Now that we know M2, we can solve for M1 from the fL/D Eqn 1</t>
  </si>
  <si>
    <t xml:space="preserve">fL/D difference </t>
  </si>
  <si>
    <t>4. Solve for Po1 from Eqn 2</t>
  </si>
  <si>
    <t>5. One the above is solved, we can find everything else with fundamental relationships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</si>
</sst>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0" borderId="0" xfId="0" applyAlignment="1">
      <alignment vertical="center" wrapText="1"/>
    </xf>
    <xf numFmtId="11" fontId="0" fillId="0" borderId="0" xfId="0" applyNumberFormat="1"/>
    <xf numFmtId="0" fontId="0" fillId="2" borderId="0" xfId="0" applyFill="1"/>
    <xf numFmtId="0" fontId="1" fillId="2" borderId="0" xfId="0" applyFont="1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0" fillId="0" borderId="1" xfId="0" applyBorder="1"/>
    <xf numFmtId="11" fontId="0" fillId="0" borderId="5" xfId="0" applyNumberFormat="1" applyBorder="1"/>
    <xf numFmtId="9" fontId="0" fillId="0" borderId="0" xfId="1" applyFont="1"/>
    <xf numFmtId="0" fontId="3" fillId="0" borderId="0" xfId="0" applyFont="1"/>
    <xf numFmtId="0" fontId="3" fillId="0" borderId="4" xfId="0" applyFont="1" applyBorder="1"/>
    <xf numFmtId="0" fontId="0" fillId="0" borderId="4" xfId="0" applyBorder="1" applyAlignment="1">
      <alignment horizontal="left"/>
    </xf>
    <xf numFmtId="2" fontId="0" fillId="3" borderId="0" xfId="0" applyNumberFormat="1" applyFill="1"/>
    <xf numFmtId="0" fontId="0" fillId="0" borderId="12" xfId="0" applyBorder="1"/>
    <xf numFmtId="0" fontId="5" fillId="0" borderId="11" xfId="0" applyFont="1" applyBorder="1" applyAlignment="1">
      <alignment horizontal="center"/>
    </xf>
    <xf numFmtId="0" fontId="0" fillId="0" borderId="13" xfId="0" applyBorder="1"/>
    <xf numFmtId="167" fontId="0" fillId="0" borderId="12" xfId="0" applyNumberFormat="1" applyBorder="1"/>
    <xf numFmtId="165" fontId="0" fillId="0" borderId="13" xfId="0" applyNumberFormat="1" applyBorder="1"/>
    <xf numFmtId="0" fontId="0" fillId="5" borderId="1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0" xfId="0" applyFill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6" fontId="0" fillId="3" borderId="0" xfId="0" applyNumberFormat="1" applyFill="1"/>
    <xf numFmtId="0" fontId="1" fillId="5" borderId="14" xfId="0" applyFont="1" applyFill="1" applyBorder="1"/>
    <xf numFmtId="0" fontId="1" fillId="5" borderId="15" xfId="0" applyFont="1" applyFill="1" applyBorder="1"/>
    <xf numFmtId="0" fontId="6" fillId="0" borderId="4" xfId="0" applyFont="1" applyBorder="1"/>
    <xf numFmtId="165" fontId="0" fillId="5" borderId="0" xfId="0" applyNumberFormat="1" applyFill="1"/>
    <xf numFmtId="166" fontId="0" fillId="6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390525</xdr:colOff>
      <xdr:row>42</xdr:row>
      <xdr:rowOff>42862</xdr:rowOff>
    </xdr:from>
    <xdr:ext cx="2755049" cy="3187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000" b="0" i="1">
                        <a:latin typeface="Cambria Math" panose="02040503050406030204" pitchFamily="18" charset="0"/>
                      </a:rPr>
                      <m:t>h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𝑎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𝑏𝑇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𝑐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𝑑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en-US" sz="20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0B15D52-914A-A46B-CC94-61CD0BA53C57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000" b="0" i="0">
                  <a:latin typeface="Cambria Math" panose="02040503050406030204" pitchFamily="18" charset="0"/>
                </a:rPr>
                <a:t>ℎ=𝑎+𝑏𝑇+𝑐𝑇^2+𝑑𝑇^3</a:t>
              </a:r>
              <a:endParaRPr lang="en-US" sz="20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152</xdr:row>
          <xdr:rowOff>152400</xdr:rowOff>
        </xdr:from>
        <xdr:to>
          <xdr:col>6</xdr:col>
          <xdr:colOff>457200</xdr:colOff>
          <xdr:row>154</xdr:row>
          <xdr:rowOff>57150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6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581025</xdr:colOff>
          <xdr:row>147</xdr:row>
          <xdr:rowOff>38100</xdr:rowOff>
        </xdr:from>
        <xdr:to>
          <xdr:col>8</xdr:col>
          <xdr:colOff>171450</xdr:colOff>
          <xdr:row>151</xdr:row>
          <xdr:rowOff>57150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6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561975</xdr:colOff>
          <xdr:row>142</xdr:row>
          <xdr:rowOff>57150</xdr:rowOff>
        </xdr:from>
        <xdr:to>
          <xdr:col>9</xdr:col>
          <xdr:colOff>152400</xdr:colOff>
          <xdr:row>146</xdr:row>
          <xdr:rowOff>133350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6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466725</xdr:colOff>
      <xdr:row>81</xdr:row>
      <xdr:rowOff>66675</xdr:rowOff>
    </xdr:from>
    <xdr:to>
      <xdr:col>14</xdr:col>
      <xdr:colOff>303503</xdr:colOff>
      <xdr:row>86</xdr:row>
      <xdr:rowOff>127979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6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542925</xdr:colOff>
          <xdr:row>61</xdr:row>
          <xdr:rowOff>85725</xdr:rowOff>
        </xdr:from>
        <xdr:to>
          <xdr:col>7</xdr:col>
          <xdr:colOff>504825</xdr:colOff>
          <xdr:row>65</xdr:row>
          <xdr:rowOff>9525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6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571500</xdr:colOff>
      <xdr:row>60</xdr:row>
      <xdr:rowOff>133350</xdr:rowOff>
    </xdr:from>
    <xdr:to>
      <xdr:col>5</xdr:col>
      <xdr:colOff>28575</xdr:colOff>
      <xdr:row>62</xdr:row>
      <xdr:rowOff>57150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>
          <a:off x="3067050" y="11591925"/>
          <a:ext cx="1047750" cy="3048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108</xdr:row>
      <xdr:rowOff>95250</xdr:rowOff>
    </xdr:from>
    <xdr:to>
      <xdr:col>5</xdr:col>
      <xdr:colOff>104775</xdr:colOff>
      <xdr:row>109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CxnSpPr/>
      </xdr:nvCxnSpPr>
      <xdr:spPr>
        <a:xfrm>
          <a:off x="2914650" y="107918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110</xdr:row>
      <xdr:rowOff>114300</xdr:rowOff>
    </xdr:from>
    <xdr:to>
      <xdr:col>5</xdr:col>
      <xdr:colOff>161925</xdr:colOff>
      <xdr:row>114</xdr:row>
      <xdr:rowOff>14287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CxnSpPr/>
      </xdr:nvCxnSpPr>
      <xdr:spPr>
        <a:xfrm>
          <a:off x="2800350" y="111918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113</xdr:row>
      <xdr:rowOff>123825</xdr:rowOff>
    </xdr:from>
    <xdr:to>
      <xdr:col>5</xdr:col>
      <xdr:colOff>152400</xdr:colOff>
      <xdr:row>116</xdr:row>
      <xdr:rowOff>114300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CxnSpPr/>
      </xdr:nvCxnSpPr>
      <xdr:spPr>
        <a:xfrm>
          <a:off x="3048000" y="117729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115</xdr:row>
      <xdr:rowOff>114300</xdr:rowOff>
    </xdr:from>
    <xdr:to>
      <xdr:col>5</xdr:col>
      <xdr:colOff>161925</xdr:colOff>
      <xdr:row>118</xdr:row>
      <xdr:rowOff>142875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CxnSpPr/>
      </xdr:nvCxnSpPr>
      <xdr:spPr>
        <a:xfrm>
          <a:off x="2933700" y="121443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117</xdr:row>
      <xdr:rowOff>133350</xdr:rowOff>
    </xdr:from>
    <xdr:to>
      <xdr:col>5</xdr:col>
      <xdr:colOff>190500</xdr:colOff>
      <xdr:row>121</xdr:row>
      <xdr:rowOff>95918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CxnSpPr>
          <a:endCxn id="4" idx="1"/>
        </xdr:cNvCxnSpPr>
      </xdr:nvCxnSpPr>
      <xdr:spPr>
        <a:xfrm>
          <a:off x="2752725" y="12544425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127</xdr:row>
      <xdr:rowOff>142875</xdr:rowOff>
    </xdr:from>
    <xdr:to>
      <xdr:col>5</xdr:col>
      <xdr:colOff>209550</xdr:colOff>
      <xdr:row>128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127</xdr:row>
      <xdr:rowOff>85725</xdr:rowOff>
    </xdr:from>
    <xdr:to>
      <xdr:col>2</xdr:col>
      <xdr:colOff>247651</xdr:colOff>
      <xdr:row>138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144</xdr:row>
      <xdr:rowOff>114300</xdr:rowOff>
    </xdr:from>
    <xdr:to>
      <xdr:col>4</xdr:col>
      <xdr:colOff>552450</xdr:colOff>
      <xdr:row>145</xdr:row>
      <xdr:rowOff>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CxnSpPr/>
      </xdr:nvCxnSpPr>
      <xdr:spPr>
        <a:xfrm>
          <a:off x="2667000" y="17678400"/>
          <a:ext cx="1076325" cy="762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146</xdr:row>
      <xdr:rowOff>104775</xdr:rowOff>
    </xdr:from>
    <xdr:to>
      <xdr:col>4</xdr:col>
      <xdr:colOff>571500</xdr:colOff>
      <xdr:row>149</xdr:row>
      <xdr:rowOff>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CxnSpPr/>
      </xdr:nvCxnSpPr>
      <xdr:spPr>
        <a:xfrm>
          <a:off x="2752725" y="22440900"/>
          <a:ext cx="1295400" cy="5715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152</xdr:row>
      <xdr:rowOff>123826</xdr:rowOff>
    </xdr:from>
    <xdr:to>
      <xdr:col>4</xdr:col>
      <xdr:colOff>571500</xdr:colOff>
      <xdr:row>153</xdr:row>
      <xdr:rowOff>133350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CxnSpPr/>
      </xdr:nvCxnSpPr>
      <xdr:spPr>
        <a:xfrm>
          <a:off x="3086102" y="29356051"/>
          <a:ext cx="962023" cy="200024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154</xdr:row>
      <xdr:rowOff>95254</xdr:rowOff>
    </xdr:from>
    <xdr:to>
      <xdr:col>4</xdr:col>
      <xdr:colOff>581025</xdr:colOff>
      <xdr:row>155</xdr:row>
      <xdr:rowOff>180975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CxnSpPr/>
      </xdr:nvCxnSpPr>
      <xdr:spPr>
        <a:xfrm>
          <a:off x="2819403" y="29708479"/>
          <a:ext cx="1238247" cy="27622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157</xdr:row>
      <xdr:rowOff>104777</xdr:rowOff>
    </xdr:from>
    <xdr:to>
      <xdr:col>4</xdr:col>
      <xdr:colOff>600075</xdr:colOff>
      <xdr:row>158</xdr:row>
      <xdr:rowOff>38100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CxnSpPr/>
      </xdr:nvCxnSpPr>
      <xdr:spPr>
        <a:xfrm>
          <a:off x="3076577" y="30289502"/>
          <a:ext cx="1000123" cy="12382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228600</xdr:colOff>
          <xdr:row>56</xdr:row>
          <xdr:rowOff>28575</xdr:rowOff>
        </xdr:from>
        <xdr:to>
          <xdr:col>12</xdr:col>
          <xdr:colOff>381000</xdr:colOff>
          <xdr:row>60</xdr:row>
          <xdr:rowOff>9525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6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126</xdr:row>
          <xdr:rowOff>114300</xdr:rowOff>
        </xdr:from>
        <xdr:to>
          <xdr:col>7</xdr:col>
          <xdr:colOff>285750</xdr:colOff>
          <xdr:row>130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6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116</xdr:row>
          <xdr:rowOff>19050</xdr:rowOff>
        </xdr:from>
        <xdr:to>
          <xdr:col>7</xdr:col>
          <xdr:colOff>38100</xdr:colOff>
          <xdr:row>117</xdr:row>
          <xdr:rowOff>114300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6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119</xdr:row>
          <xdr:rowOff>180975</xdr:rowOff>
        </xdr:from>
        <xdr:to>
          <xdr:col>9</xdr:col>
          <xdr:colOff>104775</xdr:colOff>
          <xdr:row>123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6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107</xdr:row>
          <xdr:rowOff>76200</xdr:rowOff>
        </xdr:from>
        <xdr:to>
          <xdr:col>9</xdr:col>
          <xdr:colOff>352425</xdr:colOff>
          <xdr:row>112</xdr:row>
          <xdr:rowOff>19050</xdr:rowOff>
        </xdr:to>
        <xdr:sp macro="" textlink="">
          <xdr:nvSpPr>
            <xdr:cNvPr id="1039" name="Object 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6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161925</xdr:colOff>
          <xdr:row>112</xdr:row>
          <xdr:rowOff>85725</xdr:rowOff>
        </xdr:from>
        <xdr:to>
          <xdr:col>8</xdr:col>
          <xdr:colOff>247650</xdr:colOff>
          <xdr:row>115</xdr:row>
          <xdr:rowOff>133350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6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190500</xdr:colOff>
          <xdr:row>118</xdr:row>
          <xdr:rowOff>0</xdr:rowOff>
        </xdr:from>
        <xdr:to>
          <xdr:col>6</xdr:col>
          <xdr:colOff>552450</xdr:colOff>
          <xdr:row>119</xdr:row>
          <xdr:rowOff>95250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6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600075</xdr:colOff>
          <xdr:row>155</xdr:row>
          <xdr:rowOff>19050</xdr:rowOff>
        </xdr:from>
        <xdr:to>
          <xdr:col>6</xdr:col>
          <xdr:colOff>352425</xdr:colOff>
          <xdr:row>156</xdr:row>
          <xdr:rowOff>114300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6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157</xdr:row>
          <xdr:rowOff>57150</xdr:rowOff>
        </xdr:from>
        <xdr:to>
          <xdr:col>7</xdr:col>
          <xdr:colOff>38100</xdr:colOff>
          <xdr:row>161</xdr:row>
          <xdr:rowOff>9525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6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190500</xdr:colOff>
      <xdr:row>119</xdr:row>
      <xdr:rowOff>171450</xdr:rowOff>
    </xdr:from>
    <xdr:to>
      <xdr:col>6</xdr:col>
      <xdr:colOff>472234</xdr:colOff>
      <xdr:row>123</xdr:row>
      <xdr:rowOff>20386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9525</xdr:colOff>
      <xdr:row>161</xdr:row>
      <xdr:rowOff>142875</xdr:rowOff>
    </xdr:from>
    <xdr:to>
      <xdr:col>6</xdr:col>
      <xdr:colOff>291259</xdr:colOff>
      <xdr:row>164</xdr:row>
      <xdr:rowOff>182311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357245</xdr:colOff>
      <xdr:row>25</xdr:row>
      <xdr:rowOff>161830</xdr:rowOff>
    </xdr:from>
    <xdr:to>
      <xdr:col>5</xdr:col>
      <xdr:colOff>99459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7245" y="4943380"/>
          <a:ext cx="382843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276225</xdr:colOff>
      <xdr:row>159</xdr:row>
      <xdr:rowOff>161925</xdr:rowOff>
    </xdr:from>
    <xdr:to>
      <xdr:col>5</xdr:col>
      <xdr:colOff>9525</xdr:colOff>
      <xdr:row>163</xdr:row>
      <xdr:rowOff>67343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CxnSpPr>
          <a:endCxn id="5" idx="1"/>
        </xdr:cNvCxnSpPr>
      </xdr:nvCxnSpPr>
      <xdr:spPr>
        <a:xfrm>
          <a:off x="2771775" y="30727650"/>
          <a:ext cx="1323975" cy="66741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84</xdr:row>
      <xdr:rowOff>180975</xdr:rowOff>
    </xdr:from>
    <xdr:to>
      <xdr:col>4</xdr:col>
      <xdr:colOff>571500</xdr:colOff>
      <xdr:row>85</xdr:row>
      <xdr:rowOff>152400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CxnSpPr/>
      </xdr:nvCxnSpPr>
      <xdr:spPr>
        <a:xfrm>
          <a:off x="2514600" y="14706600"/>
          <a:ext cx="1533525" cy="1619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857250</xdr:colOff>
      <xdr:row>58</xdr:row>
      <xdr:rowOff>19050</xdr:rowOff>
    </xdr:from>
    <xdr:to>
      <xdr:col>5</xdr:col>
      <xdr:colOff>228600</xdr:colOff>
      <xdr:row>58</xdr:row>
      <xdr:rowOff>123825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CxnSpPr/>
      </xdr:nvCxnSpPr>
      <xdr:spPr>
        <a:xfrm flipV="1">
          <a:off x="3352800" y="10906125"/>
          <a:ext cx="962025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98</xdr:row>
      <xdr:rowOff>76200</xdr:rowOff>
    </xdr:from>
    <xdr:to>
      <xdr:col>11</xdr:col>
      <xdr:colOff>548151</xdr:colOff>
      <xdr:row>104</xdr:row>
      <xdr:rowOff>21511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Object 40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4133850" y="18811875"/>
              <a:ext cx="4158126" cy="108831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</m:t>
                            </m:r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,2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</m:t>
                            </m:r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,1</m:t>
                            </m:r>
                          </m:sub>
                        </m:sSub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8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8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2</m:t>
                            </m:r>
                          </m:sub>
                        </m:sSub>
                      </m:den>
                    </m:f>
                    <m:sSup>
                      <m:sSup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num>
                              <m:den>
                                <m: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1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den>
                            </m:f>
                          </m:e>
                        </m:d>
                      </m:e>
                      <m:sup>
                        <m:f>
                          <m:fPr>
                            <m:type m:val="lin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+1</m:t>
                                </m:r>
                              </m:e>
                            </m:d>
                          </m:num>
                          <m:den>
                            <m:d>
                              <m:dPr>
                                <m:begChr m:val="["/>
                                <m:endChr m:val="]"/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  <m:d>
                                  <m:d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−1</m:t>
                                    </m:r>
                                  </m:e>
                                </m:d>
                              </m:e>
                            </m:d>
                          </m:den>
                        </m:f>
                      </m:sup>
                    </m:sSup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2" name="Object 40">
              <a:extLst>
                <a:ext uri="{FF2B5EF4-FFF2-40B4-BE49-F238E27FC236}">
                  <a16:creationId xmlns:a16="http://schemas.microsoft.com/office/drawing/2014/main" id="{A43F6421-7C8A-7314-DCD5-FEFD0223F678}"/>
                </a:ext>
              </a:extLst>
            </xdr:cNvPr>
            <xdr:cNvSpPr txBox="1"/>
          </xdr:nvSpPr>
          <xdr:spPr>
            <a:xfrm>
              <a:off x="4133850" y="18811875"/>
              <a:ext cx="4158126" cy="108831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𝑃_(𝑜,2)/𝑃_(𝑜,1) 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=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𝑀_1/𝑀_2 </a:t>
              </a:r>
              <a:r>
                <a:rPr lang="en-US" sz="1800" b="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𝑀_2〗^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)/(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)^((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𝛾+1)∕[2(𝛾−1)] )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>
    <xdr:from>
      <xdr:col>3</xdr:col>
      <xdr:colOff>371475</xdr:colOff>
      <xdr:row>99</xdr:row>
      <xdr:rowOff>123825</xdr:rowOff>
    </xdr:from>
    <xdr:to>
      <xdr:col>5</xdr:col>
      <xdr:colOff>47625</xdr:colOff>
      <xdr:row>101</xdr:row>
      <xdr:rowOff>48856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CxnSpPr>
          <a:endCxn id="2" idx="1"/>
        </xdr:cNvCxnSpPr>
      </xdr:nvCxnSpPr>
      <xdr:spPr>
        <a:xfrm>
          <a:off x="2867025" y="19050000"/>
          <a:ext cx="1266825" cy="30603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161925</xdr:colOff>
      <xdr:row>64</xdr:row>
      <xdr:rowOff>66675</xdr:rowOff>
    </xdr:from>
    <xdr:to>
      <xdr:col>4</xdr:col>
      <xdr:colOff>428374</xdr:colOff>
      <xdr:row>71</xdr:row>
      <xdr:rowOff>123651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95475" y="12287250"/>
          <a:ext cx="2009524" cy="1390476"/>
        </a:xfrm>
        <a:prstGeom prst="rect">
          <a:avLst/>
        </a:prstGeom>
      </xdr:spPr>
    </xdr:pic>
    <xdr:clientData/>
  </xdr:twoCellAnchor>
  <xdr:twoCellAnchor editAs="oneCell">
    <xdr:from>
      <xdr:col>2</xdr:col>
      <xdr:colOff>257175</xdr:colOff>
      <xdr:row>87</xdr:row>
      <xdr:rowOff>114300</xdr:rowOff>
    </xdr:from>
    <xdr:to>
      <xdr:col>4</xdr:col>
      <xdr:colOff>523624</xdr:colOff>
      <xdr:row>94</xdr:row>
      <xdr:rowOff>171276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90725" y="16735425"/>
          <a:ext cx="2009524" cy="13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oleObject" Target="../embeddings/oleObject6.bin"/><Relationship Id="rId18" Type="http://schemas.openxmlformats.org/officeDocument/2006/relationships/image" Target="../media/image7.emf"/><Relationship Id="rId26" Type="http://schemas.openxmlformats.org/officeDocument/2006/relationships/image" Target="../media/image10.emf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8.bin"/><Relationship Id="rId25" Type="http://schemas.openxmlformats.org/officeDocument/2006/relationships/oleObject" Target="../embeddings/oleObject13.bin"/><Relationship Id="rId2" Type="http://schemas.openxmlformats.org/officeDocument/2006/relationships/drawing" Target="../drawings/drawing2.xml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9.emf"/><Relationship Id="rId5" Type="http://schemas.openxmlformats.org/officeDocument/2006/relationships/image" Target="../media/image1.emf"/><Relationship Id="rId15" Type="http://schemas.openxmlformats.org/officeDocument/2006/relationships/oleObject" Target="../embeddings/oleObject7.bin"/><Relationship Id="rId23" Type="http://schemas.openxmlformats.org/officeDocument/2006/relationships/oleObject" Target="../embeddings/oleObject12.bin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9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image" Target="../media/image5.emf"/><Relationship Id="rId22" Type="http://schemas.openxmlformats.org/officeDocument/2006/relationships/oleObject" Target="../embeddings/oleObject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E0ED3-84B5-4BA7-91F0-BF86330B1AD8}">
  <dimension ref="A1:W52"/>
  <sheetViews>
    <sheetView workbookViewId="0">
      <pane ySplit="5" topLeftCell="A6" activePane="bottomLeft" state="frozen"/>
      <selection pane="bottomLeft" activeCell="L8" sqref="L8"/>
    </sheetView>
  </sheetViews>
  <sheetFormatPr defaultRowHeight="15" x14ac:dyDescent="0.25"/>
  <cols>
    <col min="1" max="1" width="12.28515625" customWidth="1"/>
    <col min="5" max="5" width="13.140625" customWidth="1"/>
    <col min="6" max="6" width="12.28515625" customWidth="1"/>
    <col min="12" max="12" width="12.140625" customWidth="1"/>
    <col min="15" max="15" width="12" customWidth="1"/>
  </cols>
  <sheetData>
    <row r="1" spans="1:23" x14ac:dyDescent="0.25">
      <c r="A1" s="23" t="s">
        <v>76</v>
      </c>
      <c r="L1" s="23" t="s">
        <v>77</v>
      </c>
    </row>
    <row r="2" spans="1:23" x14ac:dyDescent="0.25">
      <c r="A2" s="19" t="s">
        <v>70</v>
      </c>
      <c r="F2" s="19" t="s">
        <v>70</v>
      </c>
      <c r="L2" s="19" t="str">
        <f>A2</f>
        <v>Pressure =</v>
      </c>
      <c r="O2" s="19" t="str">
        <f>F2</f>
        <v>Pressure =</v>
      </c>
    </row>
    <row r="3" spans="1:23" x14ac:dyDescent="0.25">
      <c r="A3">
        <v>100</v>
      </c>
      <c r="B3" t="s">
        <v>1</v>
      </c>
      <c r="F3">
        <v>400</v>
      </c>
      <c r="G3" t="s">
        <v>1</v>
      </c>
      <c r="L3">
        <f>A3*0.145</f>
        <v>14.499999999999998</v>
      </c>
      <c r="M3" t="s">
        <v>78</v>
      </c>
      <c r="O3" s="24">
        <f>F3*0.145</f>
        <v>57.999999999999993</v>
      </c>
      <c r="P3" t="s">
        <v>78</v>
      </c>
    </row>
    <row r="4" spans="1:23" x14ac:dyDescent="0.25">
      <c r="A4" s="19" t="s">
        <v>30</v>
      </c>
      <c r="B4" s="19" t="s">
        <v>69</v>
      </c>
      <c r="C4" s="19" t="s">
        <v>83</v>
      </c>
      <c r="D4" s="19" t="s">
        <v>23</v>
      </c>
      <c r="E4" s="19" t="s">
        <v>5</v>
      </c>
      <c r="F4" s="19" t="s">
        <v>30</v>
      </c>
      <c r="G4" s="19" t="s">
        <v>69</v>
      </c>
      <c r="H4" s="19" t="s">
        <v>83</v>
      </c>
      <c r="I4" s="19" t="s">
        <v>23</v>
      </c>
      <c r="J4" s="19" t="s">
        <v>5</v>
      </c>
      <c r="K4" s="19"/>
      <c r="L4" s="19" t="str">
        <f>A4</f>
        <v>Temperature</v>
      </c>
      <c r="M4" s="19" t="str">
        <f>B4</f>
        <v>Enthalpy</v>
      </c>
      <c r="O4" s="19" t="str">
        <f>F4</f>
        <v>Temperature</v>
      </c>
      <c r="P4" s="19" t="str">
        <f>G4</f>
        <v>Enthalpy</v>
      </c>
      <c r="S4" t="s">
        <v>84</v>
      </c>
    </row>
    <row r="5" spans="1:23" x14ac:dyDescent="0.25">
      <c r="A5" s="19" t="s">
        <v>68</v>
      </c>
      <c r="B5" s="19" t="s">
        <v>29</v>
      </c>
      <c r="C5" s="19" t="s">
        <v>26</v>
      </c>
      <c r="F5" s="19" t="s">
        <v>68</v>
      </c>
      <c r="G5" s="19" t="s">
        <v>29</v>
      </c>
      <c r="H5" s="19" t="s">
        <v>26</v>
      </c>
      <c r="L5" s="19" t="s">
        <v>79</v>
      </c>
      <c r="M5" s="19" t="s">
        <v>80</v>
      </c>
      <c r="O5" s="19" t="str">
        <f>F5</f>
        <v>deg F</v>
      </c>
      <c r="P5" s="19" t="str">
        <f>G5</f>
        <v>Btu/lbm</v>
      </c>
    </row>
    <row r="6" spans="1:23" x14ac:dyDescent="0.25">
      <c r="A6">
        <v>50</v>
      </c>
      <c r="B6">
        <v>3.6814900000000002</v>
      </c>
      <c r="C6" s="20">
        <v>0.53115800000000002</v>
      </c>
      <c r="D6">
        <f t="shared" ref="D6:D41" si="0">A$3/(Rg*C6*(A6+459.67))*144</f>
        <v>0.99699010855203785</v>
      </c>
      <c r="E6">
        <v>1.4111499999999999</v>
      </c>
      <c r="F6">
        <v>50</v>
      </c>
      <c r="G6" s="20">
        <v>1.52356</v>
      </c>
      <c r="H6" s="20">
        <v>2.1440600000000001</v>
      </c>
      <c r="I6">
        <f t="shared" ref="I6:I41" si="1">F$3/(Rg*H6*(F6+459.67))*144</f>
        <v>0.98795606853965534</v>
      </c>
      <c r="J6" s="20">
        <v>1.4406300000000001</v>
      </c>
      <c r="L6" s="11">
        <f t="shared" ref="L6:L41" si="2">(A6+459.67)/1.8-273.15</f>
        <v>10</v>
      </c>
      <c r="M6">
        <f t="shared" ref="M6:M41" si="3">B6*2.32442</f>
        <v>8.5573289857999999</v>
      </c>
      <c r="O6" s="11">
        <f>(F6+459.67)/1.8-273.15</f>
        <v>10</v>
      </c>
      <c r="P6">
        <f>G6*2.32442</f>
        <v>3.5413933352</v>
      </c>
      <c r="S6" s="20">
        <v>0.24184700000000001</v>
      </c>
      <c r="T6" s="20">
        <v>0.25085600000000002</v>
      </c>
      <c r="U6" s="30">
        <f>T6/S6-1</f>
        <v>3.725082386798273E-2</v>
      </c>
    </row>
    <row r="7" spans="1:23" ht="75" x14ac:dyDescent="0.25">
      <c r="A7">
        <f>A6+10</f>
        <v>60</v>
      </c>
      <c r="B7">
        <v>6.0968600000000004</v>
      </c>
      <c r="C7" s="20">
        <v>0.520733</v>
      </c>
      <c r="D7">
        <f t="shared" si="0"/>
        <v>0.99738056355630289</v>
      </c>
      <c r="E7">
        <v>1.4108799999999999</v>
      </c>
      <c r="F7">
        <f>F6+10</f>
        <v>60</v>
      </c>
      <c r="G7" s="20">
        <v>4.0263900000000001</v>
      </c>
      <c r="H7" s="20">
        <v>2.0995599999999999</v>
      </c>
      <c r="I7">
        <f t="shared" si="1"/>
        <v>0.98948155423491457</v>
      </c>
      <c r="J7" s="20">
        <v>1.43997</v>
      </c>
      <c r="L7" s="11">
        <f t="shared" si="2"/>
        <v>15.5555555555556</v>
      </c>
      <c r="M7">
        <f t="shared" si="3"/>
        <v>14.1716633212</v>
      </c>
      <c r="O7" s="11">
        <f t="shared" ref="O7:O41" si="4">(F7+459.67)/1.8-273.15</f>
        <v>15.5555555555556</v>
      </c>
      <c r="P7">
        <f t="shared" ref="P7:P41" si="5">G7*2.32442</f>
        <v>9.3590214437999997</v>
      </c>
      <c r="S7" s="20">
        <v>0.24179800000000001</v>
      </c>
      <c r="T7" s="20">
        <v>0.25033</v>
      </c>
      <c r="U7" s="30">
        <f t="shared" ref="U7:U41" si="6">T7/S7-1</f>
        <v>3.5285651659649808E-2</v>
      </c>
      <c r="W7" s="20" t="s">
        <v>85</v>
      </c>
    </row>
    <row r="8" spans="1:23" x14ac:dyDescent="0.25">
      <c r="A8">
        <f t="shared" ref="A8:A41" si="7">A7+10</f>
        <v>70</v>
      </c>
      <c r="B8">
        <v>8.5116599999999991</v>
      </c>
      <c r="C8" s="20">
        <v>0.51071599999999995</v>
      </c>
      <c r="D8">
        <f t="shared" si="0"/>
        <v>0.99774327237387783</v>
      </c>
      <c r="E8">
        <v>1.41059</v>
      </c>
      <c r="F8">
        <f t="shared" ref="F8:F41" si="8">F7+10</f>
        <v>70</v>
      </c>
      <c r="G8" s="20">
        <v>6.5242399999999998</v>
      </c>
      <c r="H8" s="20">
        <v>2.0569899999999999</v>
      </c>
      <c r="I8">
        <f t="shared" si="1"/>
        <v>0.99089145419996671</v>
      </c>
      <c r="J8" s="20">
        <v>1.4393</v>
      </c>
      <c r="L8" s="11">
        <f t="shared" si="2"/>
        <v>21.111111111111143</v>
      </c>
      <c r="M8">
        <f t="shared" si="3"/>
        <v>19.784672737199998</v>
      </c>
      <c r="O8" s="11">
        <f t="shared" si="4"/>
        <v>21.111111111111143</v>
      </c>
      <c r="P8">
        <f t="shared" si="5"/>
        <v>15.165073940799999</v>
      </c>
      <c r="S8" s="20">
        <v>0.24176600000000001</v>
      </c>
      <c r="T8" s="20">
        <v>0.249858</v>
      </c>
      <c r="U8" s="30">
        <f t="shared" si="6"/>
        <v>3.3470380450518311E-2</v>
      </c>
      <c r="W8" s="20">
        <v>1.4406300000000001</v>
      </c>
    </row>
    <row r="9" spans="1:23" x14ac:dyDescent="0.25">
      <c r="A9">
        <f t="shared" si="7"/>
        <v>80</v>
      </c>
      <c r="B9">
        <v>10.926069999999999</v>
      </c>
      <c r="C9" s="20">
        <v>0.50108299999999995</v>
      </c>
      <c r="D9">
        <f t="shared" si="0"/>
        <v>0.99808080230301388</v>
      </c>
      <c r="E9">
        <v>1.41029</v>
      </c>
      <c r="F9">
        <f t="shared" si="8"/>
        <v>80</v>
      </c>
      <c r="G9" s="20">
        <v>9.0176700000000007</v>
      </c>
      <c r="H9" s="20">
        <v>2.0162100000000001</v>
      </c>
      <c r="I9">
        <f t="shared" si="1"/>
        <v>0.99220085737180375</v>
      </c>
      <c r="J9" s="20">
        <v>1.43865</v>
      </c>
      <c r="L9" s="11">
        <f t="shared" si="2"/>
        <v>26.666666666666742</v>
      </c>
      <c r="M9">
        <f t="shared" si="3"/>
        <v>25.396775629399997</v>
      </c>
      <c r="O9" s="11">
        <f t="shared" si="4"/>
        <v>26.666666666666742</v>
      </c>
      <c r="P9">
        <f t="shared" si="5"/>
        <v>20.960852501400002</v>
      </c>
      <c r="S9" s="20">
        <v>0.24174999999999999</v>
      </c>
      <c r="T9" s="20">
        <v>0.24943499999999999</v>
      </c>
      <c r="U9" s="30">
        <f t="shared" si="6"/>
        <v>3.178903826266799E-2</v>
      </c>
      <c r="W9" s="20">
        <v>1.43997</v>
      </c>
    </row>
    <row r="10" spans="1:23" x14ac:dyDescent="0.25">
      <c r="A10">
        <f t="shared" si="7"/>
        <v>90</v>
      </c>
      <c r="B10">
        <v>13.34412</v>
      </c>
      <c r="C10" s="20">
        <v>0.49181399999999997</v>
      </c>
      <c r="D10">
        <f t="shared" si="0"/>
        <v>0.99839115714167992</v>
      </c>
      <c r="E10">
        <v>1.4100200000000001</v>
      </c>
      <c r="F10">
        <f t="shared" si="8"/>
        <v>90</v>
      </c>
      <c r="G10" s="20">
        <v>11.510719999999999</v>
      </c>
      <c r="H10" s="20">
        <v>1.97712</v>
      </c>
      <c r="I10">
        <f t="shared" si="1"/>
        <v>0.99341010876118419</v>
      </c>
      <c r="J10" s="20">
        <v>1.43801</v>
      </c>
      <c r="L10" s="11">
        <f t="shared" si="2"/>
        <v>32.222222222222285</v>
      </c>
      <c r="M10">
        <f t="shared" si="3"/>
        <v>31.017339410399998</v>
      </c>
      <c r="O10" s="11">
        <f t="shared" si="4"/>
        <v>32.222222222222285</v>
      </c>
      <c r="P10">
        <f t="shared" si="5"/>
        <v>26.755747782399997</v>
      </c>
      <c r="S10" s="20">
        <v>0.241733</v>
      </c>
      <c r="T10" s="20">
        <v>0.24904000000000001</v>
      </c>
      <c r="U10" s="30">
        <f t="shared" si="6"/>
        <v>3.0227565123503997E-2</v>
      </c>
      <c r="W10" s="20">
        <v>1.4393</v>
      </c>
    </row>
    <row r="11" spans="1:23" x14ac:dyDescent="0.25">
      <c r="A11">
        <f t="shared" si="7"/>
        <v>100</v>
      </c>
      <c r="B11">
        <v>15.762130000000001</v>
      </c>
      <c r="C11" s="20">
        <v>0.48288700000000001</v>
      </c>
      <c r="D11">
        <f t="shared" si="0"/>
        <v>0.99867943252226543</v>
      </c>
      <c r="E11">
        <v>1.4097200000000001</v>
      </c>
      <c r="F11">
        <f t="shared" si="8"/>
        <v>100</v>
      </c>
      <c r="G11" s="20">
        <v>13.99995</v>
      </c>
      <c r="H11" s="20">
        <v>1.9396199999999999</v>
      </c>
      <c r="I11">
        <f t="shared" si="1"/>
        <v>0.99452328833973491</v>
      </c>
      <c r="J11" s="20">
        <v>1.43736</v>
      </c>
      <c r="L11" s="11">
        <f t="shared" si="2"/>
        <v>37.777777777777828</v>
      </c>
      <c r="M11">
        <f t="shared" si="3"/>
        <v>36.637810214600002</v>
      </c>
      <c r="O11" s="11">
        <f t="shared" si="4"/>
        <v>37.777777777777828</v>
      </c>
      <c r="P11">
        <f t="shared" si="5"/>
        <v>32.541763779</v>
      </c>
      <c r="S11" s="20">
        <v>0.241728</v>
      </c>
      <c r="T11" s="20">
        <v>0.24868599999999999</v>
      </c>
      <c r="U11" s="30">
        <f t="shared" si="6"/>
        <v>2.8784418850939852E-2</v>
      </c>
      <c r="W11" s="20">
        <v>1.43865</v>
      </c>
    </row>
    <row r="12" spans="1:23" x14ac:dyDescent="0.25">
      <c r="A12">
        <f t="shared" si="7"/>
        <v>110</v>
      </c>
      <c r="B12">
        <v>18.180119999999999</v>
      </c>
      <c r="C12" s="20">
        <v>0.47428399999999998</v>
      </c>
      <c r="D12">
        <f t="shared" si="0"/>
        <v>0.99894556806024026</v>
      </c>
      <c r="E12">
        <v>1.4094100000000001</v>
      </c>
      <c r="F12">
        <f t="shared" si="8"/>
        <v>110</v>
      </c>
      <c r="G12" s="20">
        <v>16.48565</v>
      </c>
      <c r="H12" s="20">
        <v>1.90361</v>
      </c>
      <c r="I12">
        <f t="shared" si="1"/>
        <v>0.99554824738656111</v>
      </c>
      <c r="J12" s="20">
        <v>1.4367000000000001</v>
      </c>
      <c r="L12" s="11">
        <f t="shared" si="2"/>
        <v>43.333333333333371</v>
      </c>
      <c r="M12">
        <f t="shared" si="3"/>
        <v>42.258234530399996</v>
      </c>
      <c r="O12" s="11">
        <f t="shared" si="4"/>
        <v>43.333333333333371</v>
      </c>
      <c r="P12">
        <f t="shared" si="5"/>
        <v>38.319574572999997</v>
      </c>
      <c r="S12" s="20">
        <v>0.24173600000000001</v>
      </c>
      <c r="T12" s="20">
        <v>0.24836800000000001</v>
      </c>
      <c r="U12" s="30">
        <f t="shared" si="6"/>
        <v>2.7434887646027084E-2</v>
      </c>
      <c r="W12" s="20">
        <v>1.43801</v>
      </c>
    </row>
    <row r="13" spans="1:23" x14ac:dyDescent="0.25">
      <c r="A13">
        <f t="shared" si="7"/>
        <v>120</v>
      </c>
      <c r="B13">
        <v>20.59825</v>
      </c>
      <c r="C13" s="20">
        <v>0.46598499999999998</v>
      </c>
      <c r="D13">
        <f t="shared" si="0"/>
        <v>0.99919645809763169</v>
      </c>
      <c r="E13">
        <v>1.4090800000000001</v>
      </c>
      <c r="F13">
        <f t="shared" si="8"/>
        <v>120</v>
      </c>
      <c r="G13" s="20">
        <v>18.968599999999999</v>
      </c>
      <c r="H13" s="20">
        <v>1.86896</v>
      </c>
      <c r="I13">
        <f t="shared" si="1"/>
        <v>0.99651263061087436</v>
      </c>
      <c r="J13" s="20">
        <v>1.43604</v>
      </c>
      <c r="L13" s="11">
        <f t="shared" si="2"/>
        <v>48.888888888888971</v>
      </c>
      <c r="M13">
        <f t="shared" si="3"/>
        <v>47.878984265</v>
      </c>
      <c r="O13" s="11">
        <f t="shared" si="4"/>
        <v>48.888888888888971</v>
      </c>
      <c r="P13">
        <f t="shared" si="5"/>
        <v>44.090993211999994</v>
      </c>
      <c r="S13" s="20">
        <v>0.241757</v>
      </c>
      <c r="T13" s="20">
        <v>0.248086</v>
      </c>
      <c r="U13" s="30">
        <f t="shared" si="6"/>
        <v>2.6179179920333251E-2</v>
      </c>
      <c r="W13" s="20">
        <v>1.43736</v>
      </c>
    </row>
    <row r="14" spans="1:23" x14ac:dyDescent="0.25">
      <c r="A14">
        <f t="shared" si="7"/>
        <v>130</v>
      </c>
      <c r="B14">
        <v>23.01662</v>
      </c>
      <c r="C14" s="20">
        <v>0.45797599999999999</v>
      </c>
      <c r="D14">
        <f t="shared" si="0"/>
        <v>0.99942887972200423</v>
      </c>
      <c r="E14">
        <v>1.4087499999999999</v>
      </c>
      <c r="F14">
        <f t="shared" si="8"/>
        <v>130</v>
      </c>
      <c r="G14" s="20">
        <v>21.448910000000001</v>
      </c>
      <c r="H14" s="20">
        <v>1.83562</v>
      </c>
      <c r="I14">
        <f t="shared" si="1"/>
        <v>0.99740565175704043</v>
      </c>
      <c r="J14" s="20">
        <v>1.4353800000000001</v>
      </c>
      <c r="L14" s="11">
        <f t="shared" si="2"/>
        <v>54.444444444444514</v>
      </c>
      <c r="M14">
        <f t="shared" si="3"/>
        <v>53.500291860399997</v>
      </c>
      <c r="O14" s="11">
        <f t="shared" si="4"/>
        <v>54.444444444444514</v>
      </c>
      <c r="P14">
        <f t="shared" si="5"/>
        <v>49.856275382200003</v>
      </c>
      <c r="S14" s="20">
        <v>0.241789</v>
      </c>
      <c r="T14" s="20">
        <v>0.247835</v>
      </c>
      <c r="U14" s="30">
        <f t="shared" si="6"/>
        <v>2.5005273192742372E-2</v>
      </c>
      <c r="W14" s="20">
        <v>1.4367000000000001</v>
      </c>
    </row>
    <row r="15" spans="1:23" x14ac:dyDescent="0.25">
      <c r="A15">
        <f t="shared" si="7"/>
        <v>140</v>
      </c>
      <c r="B15">
        <v>25.435300000000002</v>
      </c>
      <c r="C15" s="20">
        <v>0.45024199999999998</v>
      </c>
      <c r="D15">
        <f t="shared" si="0"/>
        <v>0.99964389946877308</v>
      </c>
      <c r="E15">
        <v>1.40839</v>
      </c>
      <c r="F15">
        <f t="shared" si="8"/>
        <v>140</v>
      </c>
      <c r="G15" s="20">
        <v>23.9267</v>
      </c>
      <c r="H15" s="20">
        <v>1.80352</v>
      </c>
      <c r="I15">
        <f t="shared" si="1"/>
        <v>0.99822939270896749</v>
      </c>
      <c r="J15" s="20">
        <v>1.4347099999999999</v>
      </c>
      <c r="L15" s="11">
        <f t="shared" si="2"/>
        <v>60.000000000000057</v>
      </c>
      <c r="M15">
        <f t="shared" si="3"/>
        <v>59.122320026000004</v>
      </c>
      <c r="O15" s="11">
        <f t="shared" si="4"/>
        <v>60.000000000000057</v>
      </c>
      <c r="P15">
        <f t="shared" si="5"/>
        <v>55.615700013999998</v>
      </c>
      <c r="S15" s="20">
        <v>0.24183299999999999</v>
      </c>
      <c r="T15" s="20">
        <v>0.247614</v>
      </c>
      <c r="U15" s="30">
        <f t="shared" si="6"/>
        <v>2.3904926126707249E-2</v>
      </c>
      <c r="W15" s="20">
        <v>1.43604</v>
      </c>
    </row>
    <row r="16" spans="1:23" x14ac:dyDescent="0.25">
      <c r="A16">
        <f t="shared" si="7"/>
        <v>150</v>
      </c>
      <c r="B16">
        <v>27.85436</v>
      </c>
      <c r="C16" s="20">
        <v>0.44276799999999999</v>
      </c>
      <c r="D16">
        <f t="shared" si="0"/>
        <v>0.99984480998520087</v>
      </c>
      <c r="E16">
        <v>1.40802</v>
      </c>
      <c r="F16">
        <f t="shared" si="8"/>
        <v>150</v>
      </c>
      <c r="G16" s="20">
        <v>26.402249999999999</v>
      </c>
      <c r="H16" s="20">
        <v>1.77257</v>
      </c>
      <c r="I16">
        <f t="shared" si="1"/>
        <v>0.99899984051975932</v>
      </c>
      <c r="J16" s="20">
        <v>1.4340299999999999</v>
      </c>
      <c r="L16" s="11">
        <f t="shared" si="2"/>
        <v>65.5555555555556</v>
      </c>
      <c r="M16">
        <f t="shared" si="3"/>
        <v>64.7452314712</v>
      </c>
      <c r="O16" s="11">
        <f t="shared" si="4"/>
        <v>65.5555555555556</v>
      </c>
      <c r="P16">
        <f t="shared" si="5"/>
        <v>61.369917944999997</v>
      </c>
      <c r="S16" s="20">
        <v>0.24188699999999999</v>
      </c>
      <c r="T16" s="20">
        <v>0.24742</v>
      </c>
      <c r="U16" s="30">
        <f t="shared" si="6"/>
        <v>2.287431734652956E-2</v>
      </c>
      <c r="W16" s="20">
        <v>1.4353800000000001</v>
      </c>
    </row>
    <row r="17" spans="1:23" x14ac:dyDescent="0.25">
      <c r="A17">
        <f t="shared" si="7"/>
        <v>160</v>
      </c>
      <c r="B17">
        <v>30.273890000000002</v>
      </c>
      <c r="C17" s="20">
        <v>0.43554199999999998</v>
      </c>
      <c r="D17">
        <f t="shared" si="0"/>
        <v>1.0000302456194627</v>
      </c>
      <c r="E17">
        <v>1.40764</v>
      </c>
      <c r="F17">
        <f t="shared" si="8"/>
        <v>160</v>
      </c>
      <c r="G17" s="20">
        <v>28.875820000000001</v>
      </c>
      <c r="H17" s="20">
        <v>1.74272</v>
      </c>
      <c r="I17">
        <f t="shared" si="1"/>
        <v>0.99971348980350716</v>
      </c>
      <c r="J17" s="20">
        <v>1.4333199999999999</v>
      </c>
      <c r="L17" s="11">
        <f t="shared" si="2"/>
        <v>71.111111111111143</v>
      </c>
      <c r="M17">
        <f t="shared" si="3"/>
        <v>70.369235393799997</v>
      </c>
      <c r="O17" s="11">
        <f t="shared" si="4"/>
        <v>71.111111111111143</v>
      </c>
      <c r="P17">
        <f t="shared" si="5"/>
        <v>67.119533524399998</v>
      </c>
      <c r="S17" s="20">
        <v>0.241951</v>
      </c>
      <c r="T17" s="20">
        <v>0.247252</v>
      </c>
      <c r="U17" s="30">
        <f t="shared" si="6"/>
        <v>2.1909394877475119E-2</v>
      </c>
      <c r="W17" s="20">
        <v>1.4347099999999999</v>
      </c>
    </row>
    <row r="18" spans="1:23" x14ac:dyDescent="0.25">
      <c r="A18">
        <f t="shared" si="7"/>
        <v>170</v>
      </c>
      <c r="B18">
        <v>32.69406</v>
      </c>
      <c r="C18" s="20">
        <v>0.42854999999999999</v>
      </c>
      <c r="D18">
        <f t="shared" si="0"/>
        <v>1.0002052870500608</v>
      </c>
      <c r="E18">
        <v>1.40726</v>
      </c>
      <c r="F18">
        <f t="shared" si="8"/>
        <v>170</v>
      </c>
      <c r="G18" s="20">
        <v>31.347999999999999</v>
      </c>
      <c r="H18" s="20">
        <v>1.7139</v>
      </c>
      <c r="I18">
        <f t="shared" si="1"/>
        <v>1.0003803623672409</v>
      </c>
      <c r="J18" s="20">
        <v>1.4326300000000001</v>
      </c>
      <c r="L18" s="11">
        <f t="shared" si="2"/>
        <v>76.666666666666742</v>
      </c>
      <c r="M18">
        <f t="shared" si="3"/>
        <v>75.9947269452</v>
      </c>
      <c r="O18" s="11">
        <f t="shared" si="4"/>
        <v>76.666666666666742</v>
      </c>
      <c r="P18">
        <f t="shared" si="5"/>
        <v>72.865918159999993</v>
      </c>
      <c r="S18" s="20">
        <v>0.24202399999999999</v>
      </c>
      <c r="T18" s="20">
        <v>0.24710799999999999</v>
      </c>
      <c r="U18" s="30">
        <f t="shared" si="6"/>
        <v>2.1006181205169838E-2</v>
      </c>
      <c r="W18" s="20">
        <v>1.4340299999999999</v>
      </c>
    </row>
    <row r="19" spans="1:23" x14ac:dyDescent="0.25">
      <c r="A19">
        <f t="shared" si="7"/>
        <v>180</v>
      </c>
      <c r="B19">
        <v>35.114910000000002</v>
      </c>
      <c r="C19" s="20">
        <v>0.42178199999999999</v>
      </c>
      <c r="D19">
        <f t="shared" si="0"/>
        <v>1.0003676122505771</v>
      </c>
      <c r="E19">
        <v>1.40686</v>
      </c>
      <c r="F19">
        <f t="shared" si="8"/>
        <v>180</v>
      </c>
      <c r="G19" s="20">
        <v>33.818750000000001</v>
      </c>
      <c r="H19" s="20">
        <v>1.6860599999999999</v>
      </c>
      <c r="I19">
        <f t="shared" si="1"/>
        <v>1.0010012745223134</v>
      </c>
      <c r="J19" s="20">
        <v>1.4319299999999999</v>
      </c>
      <c r="L19" s="11">
        <f t="shared" si="2"/>
        <v>82.222222222222285</v>
      </c>
      <c r="M19">
        <f t="shared" si="3"/>
        <v>81.621799102200001</v>
      </c>
      <c r="O19" s="11">
        <f t="shared" si="4"/>
        <v>82.222222222222285</v>
      </c>
      <c r="P19">
        <f t="shared" si="5"/>
        <v>78.608978875000005</v>
      </c>
      <c r="S19" s="20">
        <v>0.24210699999999999</v>
      </c>
      <c r="T19" s="20">
        <v>0.24698600000000001</v>
      </c>
      <c r="U19" s="30">
        <f t="shared" si="6"/>
        <v>2.0152246733882162E-2</v>
      </c>
      <c r="W19" s="20">
        <v>1.4333199999999999</v>
      </c>
    </row>
    <row r="20" spans="1:23" x14ac:dyDescent="0.25">
      <c r="A20">
        <f t="shared" si="7"/>
        <v>190</v>
      </c>
      <c r="B20">
        <v>37.536520000000003</v>
      </c>
      <c r="C20" s="20">
        <v>0.41522700000000001</v>
      </c>
      <c r="D20">
        <f t="shared" si="0"/>
        <v>1.0005187901754415</v>
      </c>
      <c r="E20">
        <v>1.40645</v>
      </c>
      <c r="F20">
        <f t="shared" si="8"/>
        <v>190</v>
      </c>
      <c r="G20" s="20">
        <v>36.288200000000003</v>
      </c>
      <c r="H20" s="20">
        <v>1.6591400000000001</v>
      </c>
      <c r="I20">
        <f t="shared" si="1"/>
        <v>1.0015849553098066</v>
      </c>
      <c r="J20" s="20">
        <v>1.43123</v>
      </c>
      <c r="L20" s="11">
        <f t="shared" si="2"/>
        <v>87.777777777777828</v>
      </c>
      <c r="M20">
        <f t="shared" si="3"/>
        <v>87.250637818400008</v>
      </c>
      <c r="O20" s="11">
        <f t="shared" si="4"/>
        <v>87.777777777777828</v>
      </c>
      <c r="P20">
        <f t="shared" si="5"/>
        <v>84.349017844000002</v>
      </c>
      <c r="S20" s="20">
        <v>0.242198</v>
      </c>
      <c r="T20" s="20">
        <v>0.24688499999999999</v>
      </c>
      <c r="U20" s="30">
        <f t="shared" si="6"/>
        <v>1.9351935193519409E-2</v>
      </c>
      <c r="W20" s="20">
        <v>1.4326300000000001</v>
      </c>
    </row>
    <row r="21" spans="1:23" x14ac:dyDescent="0.25">
      <c r="A21">
        <f t="shared" si="7"/>
        <v>200</v>
      </c>
      <c r="B21">
        <v>39.95899</v>
      </c>
      <c r="C21" s="20">
        <v>0.40887400000000002</v>
      </c>
      <c r="D21">
        <f t="shared" si="0"/>
        <v>1.0006620248947988</v>
      </c>
      <c r="E21">
        <v>1.4060299999999999</v>
      </c>
      <c r="F21">
        <f t="shared" si="8"/>
        <v>200</v>
      </c>
      <c r="G21" s="20">
        <v>38.756599999999999</v>
      </c>
      <c r="H21" s="20">
        <v>1.6331100000000001</v>
      </c>
      <c r="I21">
        <f t="shared" si="1"/>
        <v>1.0021240082219469</v>
      </c>
      <c r="J21" s="20">
        <v>1.4305099999999999</v>
      </c>
      <c r="L21" s="11">
        <f t="shared" si="2"/>
        <v>93.333333333333371</v>
      </c>
      <c r="M21">
        <f t="shared" si="3"/>
        <v>92.881475535799993</v>
      </c>
      <c r="O21" s="11">
        <f t="shared" si="4"/>
        <v>93.333333333333371</v>
      </c>
      <c r="P21">
        <f t="shared" si="5"/>
        <v>90.086616171999992</v>
      </c>
      <c r="S21" s="20">
        <v>0.24229800000000001</v>
      </c>
      <c r="T21" s="20">
        <v>0.24680299999999999</v>
      </c>
      <c r="U21" s="30">
        <f t="shared" si="6"/>
        <v>1.8592807204351525E-2</v>
      </c>
      <c r="W21" s="20">
        <v>1.4319299999999999</v>
      </c>
    </row>
    <row r="22" spans="1:23" x14ac:dyDescent="0.25">
      <c r="A22">
        <f t="shared" si="7"/>
        <v>210</v>
      </c>
      <c r="B22">
        <v>42.382390000000001</v>
      </c>
      <c r="C22" s="20">
        <v>0.40271499999999999</v>
      </c>
      <c r="D22">
        <f t="shared" si="0"/>
        <v>1.000794702089522</v>
      </c>
      <c r="E22">
        <v>1.4055899999999999</v>
      </c>
      <c r="F22">
        <f t="shared" si="8"/>
        <v>210</v>
      </c>
      <c r="G22" s="20">
        <v>41.224150000000002</v>
      </c>
      <c r="H22" s="20">
        <v>1.60792</v>
      </c>
      <c r="I22">
        <f t="shared" si="1"/>
        <v>1.0026246043384792</v>
      </c>
      <c r="J22" s="20">
        <v>1.4297899999999999</v>
      </c>
      <c r="L22" s="11">
        <f t="shared" si="2"/>
        <v>98.888888888888971</v>
      </c>
      <c r="M22">
        <f t="shared" si="3"/>
        <v>98.514474963799998</v>
      </c>
      <c r="O22" s="11">
        <f t="shared" si="4"/>
        <v>98.888888888888971</v>
      </c>
      <c r="P22">
        <f t="shared" si="5"/>
        <v>95.822238743</v>
      </c>
      <c r="S22" s="20">
        <v>0.24240600000000001</v>
      </c>
      <c r="T22" s="20">
        <v>0.24673999999999999</v>
      </c>
      <c r="U22" s="30">
        <f t="shared" si="6"/>
        <v>1.7879095401929002E-2</v>
      </c>
      <c r="W22" s="20">
        <v>1.43123</v>
      </c>
    </row>
    <row r="23" spans="1:23" x14ac:dyDescent="0.25">
      <c r="A23">
        <f t="shared" si="7"/>
        <v>220</v>
      </c>
      <c r="B23">
        <v>44.806899999999999</v>
      </c>
      <c r="C23" s="20">
        <v>0.39673999999999998</v>
      </c>
      <c r="D23">
        <f t="shared" si="0"/>
        <v>1.0009204387368968</v>
      </c>
      <c r="E23">
        <v>1.40513</v>
      </c>
      <c r="F23">
        <f t="shared" si="8"/>
        <v>220</v>
      </c>
      <c r="G23" s="20">
        <v>43.691229999999997</v>
      </c>
      <c r="H23" s="20">
        <v>1.58351</v>
      </c>
      <c r="I23">
        <f t="shared" si="1"/>
        <v>1.0031011483715957</v>
      </c>
      <c r="J23" s="20">
        <v>1.42906</v>
      </c>
      <c r="L23" s="11">
        <f t="shared" si="2"/>
        <v>104.44444444444451</v>
      </c>
      <c r="M23">
        <f t="shared" si="3"/>
        <v>104.15005449799999</v>
      </c>
      <c r="O23" s="11">
        <f t="shared" si="4"/>
        <v>104.44444444444451</v>
      </c>
      <c r="P23">
        <f t="shared" si="5"/>
        <v>101.55676883659999</v>
      </c>
      <c r="S23" s="20">
        <v>0.24252199999999999</v>
      </c>
      <c r="T23" s="20">
        <v>0.246694</v>
      </c>
      <c r="U23" s="30">
        <f t="shared" si="6"/>
        <v>1.720256306644341E-2</v>
      </c>
      <c r="W23" s="20">
        <v>1.4305099999999999</v>
      </c>
    </row>
    <row r="24" spans="1:23" x14ac:dyDescent="0.25">
      <c r="A24">
        <f t="shared" si="7"/>
        <v>230</v>
      </c>
      <c r="B24">
        <v>47.232520000000001</v>
      </c>
      <c r="C24" s="20">
        <v>0.39094200000000001</v>
      </c>
      <c r="D24">
        <f t="shared" si="0"/>
        <v>1.0010366592072946</v>
      </c>
      <c r="E24">
        <v>1.4046700000000001</v>
      </c>
      <c r="F24">
        <f t="shared" si="8"/>
        <v>230</v>
      </c>
      <c r="G24" s="20">
        <v>46.157800000000002</v>
      </c>
      <c r="H24" s="20">
        <v>1.55986</v>
      </c>
      <c r="I24">
        <f t="shared" si="1"/>
        <v>1.0035446094490996</v>
      </c>
      <c r="J24" s="20">
        <v>1.4283399999999999</v>
      </c>
      <c r="L24" s="11">
        <f t="shared" si="2"/>
        <v>110.00000000000006</v>
      </c>
      <c r="M24">
        <f t="shared" si="3"/>
        <v>109.78821413839999</v>
      </c>
      <c r="O24" s="11">
        <f t="shared" si="4"/>
        <v>110.00000000000006</v>
      </c>
      <c r="P24">
        <f t="shared" si="5"/>
        <v>107.290113476</v>
      </c>
      <c r="S24" s="20">
        <v>0.242645</v>
      </c>
      <c r="T24" s="20">
        <v>0.24666399999999999</v>
      </c>
      <c r="U24" s="30">
        <f t="shared" si="6"/>
        <v>1.6563292052174994E-2</v>
      </c>
      <c r="W24" s="20">
        <v>1.4297899999999999</v>
      </c>
    </row>
    <row r="25" spans="1:23" x14ac:dyDescent="0.25">
      <c r="A25">
        <f t="shared" si="7"/>
        <v>240</v>
      </c>
      <c r="B25">
        <v>49.659269999999999</v>
      </c>
      <c r="C25" s="20">
        <v>0.38531100000000001</v>
      </c>
      <c r="D25">
        <f t="shared" si="0"/>
        <v>1.0011496205381165</v>
      </c>
      <c r="E25">
        <v>1.4041999999999999</v>
      </c>
      <c r="F25">
        <f t="shared" si="8"/>
        <v>240</v>
      </c>
      <c r="G25" s="20">
        <v>48.62397</v>
      </c>
      <c r="H25" s="20">
        <v>1.53694</v>
      </c>
      <c r="I25">
        <f t="shared" si="1"/>
        <v>1.0039532094659838</v>
      </c>
      <c r="J25" s="20">
        <v>1.4276</v>
      </c>
      <c r="L25" s="11">
        <f t="shared" si="2"/>
        <v>115.5555555555556</v>
      </c>
      <c r="M25">
        <f t="shared" si="3"/>
        <v>115.4290003734</v>
      </c>
      <c r="O25" s="11">
        <f t="shared" si="4"/>
        <v>115.5555555555556</v>
      </c>
      <c r="P25">
        <f t="shared" si="5"/>
        <v>113.0225283474</v>
      </c>
      <c r="S25" s="20">
        <v>0.24277499999999999</v>
      </c>
      <c r="T25" s="20">
        <v>0.24664900000000001</v>
      </c>
      <c r="U25" s="30">
        <f t="shared" si="6"/>
        <v>1.5957161981258405E-2</v>
      </c>
      <c r="W25" s="20">
        <v>1.42906</v>
      </c>
    </row>
    <row r="26" spans="1:23" x14ac:dyDescent="0.25">
      <c r="A26">
        <f t="shared" si="7"/>
        <v>250</v>
      </c>
      <c r="B26">
        <v>52.08728</v>
      </c>
      <c r="C26" s="20">
        <v>0.37984299999999999</v>
      </c>
      <c r="D26">
        <f t="shared" si="0"/>
        <v>1.0012512554120852</v>
      </c>
      <c r="E26">
        <v>1.4037200000000001</v>
      </c>
      <c r="F26">
        <f t="shared" si="8"/>
        <v>250</v>
      </c>
      <c r="G26" s="20">
        <v>51.089889999999997</v>
      </c>
      <c r="H26" s="20">
        <v>1.5146999999999999</v>
      </c>
      <c r="I26">
        <f t="shared" si="1"/>
        <v>1.0043395539961517</v>
      </c>
      <c r="J26" s="20">
        <v>1.4268400000000001</v>
      </c>
      <c r="L26" s="11">
        <f t="shared" si="2"/>
        <v>121.11111111111114</v>
      </c>
      <c r="M26">
        <f t="shared" si="3"/>
        <v>121.07271537759999</v>
      </c>
      <c r="O26" s="11">
        <f t="shared" si="4"/>
        <v>121.11111111111114</v>
      </c>
      <c r="P26">
        <f t="shared" si="5"/>
        <v>118.75436211379998</v>
      </c>
      <c r="S26" s="20">
        <v>0.24291199999999999</v>
      </c>
      <c r="T26" s="20">
        <v>0.24664900000000001</v>
      </c>
      <c r="U26" s="30">
        <f t="shared" si="6"/>
        <v>1.5384172045843858E-2</v>
      </c>
      <c r="W26" s="20">
        <v>1.4283399999999999</v>
      </c>
    </row>
    <row r="27" spans="1:23" x14ac:dyDescent="0.25">
      <c r="A27">
        <f t="shared" si="7"/>
        <v>260</v>
      </c>
      <c r="B27">
        <v>54.516590000000001</v>
      </c>
      <c r="C27" s="20">
        <v>0.37452800000000003</v>
      </c>
      <c r="D27">
        <f t="shared" si="0"/>
        <v>1.0013501264257507</v>
      </c>
      <c r="E27">
        <v>1.40323</v>
      </c>
      <c r="F27">
        <f t="shared" si="8"/>
        <v>260</v>
      </c>
      <c r="G27" s="20">
        <v>53.555880000000002</v>
      </c>
      <c r="H27" s="20">
        <v>1.49312</v>
      </c>
      <c r="I27">
        <f t="shared" si="1"/>
        <v>1.0046979751124721</v>
      </c>
      <c r="J27" s="20">
        <v>1.4261299999999999</v>
      </c>
      <c r="L27" s="11">
        <f t="shared" si="2"/>
        <v>126.66666666666674</v>
      </c>
      <c r="M27">
        <f t="shared" si="3"/>
        <v>126.7194521278</v>
      </c>
      <c r="O27" s="11">
        <f t="shared" si="4"/>
        <v>126.66666666666674</v>
      </c>
      <c r="P27">
        <f t="shared" si="5"/>
        <v>124.4863585896</v>
      </c>
      <c r="S27" s="20">
        <v>0.24305499999999999</v>
      </c>
      <c r="T27" s="20">
        <v>0.24666199999999999</v>
      </c>
      <c r="U27" s="30">
        <f t="shared" si="6"/>
        <v>1.4840262492028522E-2</v>
      </c>
      <c r="W27" s="20">
        <v>1.4276</v>
      </c>
    </row>
    <row r="28" spans="1:23" x14ac:dyDescent="0.25">
      <c r="A28">
        <f t="shared" si="7"/>
        <v>270</v>
      </c>
      <c r="B28">
        <v>56.947310000000002</v>
      </c>
      <c r="C28" s="20">
        <v>0.36936200000000002</v>
      </c>
      <c r="D28">
        <f t="shared" si="0"/>
        <v>1.0014400216931085</v>
      </c>
      <c r="E28">
        <v>1.4027400000000001</v>
      </c>
      <c r="F28">
        <f t="shared" si="8"/>
        <v>270</v>
      </c>
      <c r="G28" s="20">
        <v>56.022219999999997</v>
      </c>
      <c r="H28" s="20">
        <v>1.4721500000000001</v>
      </c>
      <c r="I28">
        <f t="shared" si="1"/>
        <v>1.0050440221244028</v>
      </c>
      <c r="J28" s="20">
        <v>1.4253800000000001</v>
      </c>
      <c r="L28" s="11">
        <f t="shared" si="2"/>
        <v>132.22222222222229</v>
      </c>
      <c r="M28">
        <f t="shared" si="3"/>
        <v>132.36946631020001</v>
      </c>
      <c r="O28" s="11">
        <f t="shared" si="4"/>
        <v>132.22222222222229</v>
      </c>
      <c r="P28">
        <f t="shared" si="5"/>
        <v>130.21916861239998</v>
      </c>
      <c r="S28" s="20">
        <v>0.243205</v>
      </c>
      <c r="T28" s="20">
        <v>0.24668899999999999</v>
      </c>
      <c r="U28" s="30">
        <f t="shared" si="6"/>
        <v>1.4325363376575195E-2</v>
      </c>
      <c r="W28" s="20">
        <v>1.4268400000000001</v>
      </c>
    </row>
    <row r="29" spans="1:23" x14ac:dyDescent="0.25">
      <c r="A29">
        <f t="shared" si="7"/>
        <v>280</v>
      </c>
      <c r="B29">
        <v>59.379440000000002</v>
      </c>
      <c r="C29" s="20">
        <v>0.36433700000000002</v>
      </c>
      <c r="D29">
        <f t="shared" si="0"/>
        <v>1.0015263152968701</v>
      </c>
      <c r="E29">
        <v>1.4022399999999999</v>
      </c>
      <c r="F29">
        <f t="shared" si="8"/>
        <v>280</v>
      </c>
      <c r="G29" s="20">
        <v>58.488750000000003</v>
      </c>
      <c r="H29" s="20">
        <v>1.4517899999999999</v>
      </c>
      <c r="I29">
        <f t="shared" si="1"/>
        <v>1.0053605359902349</v>
      </c>
      <c r="J29" s="20">
        <v>1.4246399999999999</v>
      </c>
      <c r="L29" s="11">
        <f t="shared" si="2"/>
        <v>137.77777777777783</v>
      </c>
      <c r="M29">
        <f t="shared" si="3"/>
        <v>138.0227579248</v>
      </c>
      <c r="O29" s="11">
        <f t="shared" si="4"/>
        <v>137.77777777777783</v>
      </c>
      <c r="P29">
        <f t="shared" si="5"/>
        <v>135.95242027500001</v>
      </c>
      <c r="S29" s="20">
        <v>0.24335999999999999</v>
      </c>
      <c r="T29" s="20">
        <v>0.246727</v>
      </c>
      <c r="U29" s="30">
        <f t="shared" si="6"/>
        <v>1.3835470085470147E-2</v>
      </c>
      <c r="W29" s="20">
        <v>1.4261299999999999</v>
      </c>
    </row>
    <row r="30" spans="1:23" x14ac:dyDescent="0.25">
      <c r="A30">
        <f t="shared" si="7"/>
        <v>290</v>
      </c>
      <c r="B30">
        <v>61.813079999999999</v>
      </c>
      <c r="C30" s="20">
        <v>0.35944799999999999</v>
      </c>
      <c r="D30">
        <f t="shared" si="0"/>
        <v>1.0016072150798627</v>
      </c>
      <c r="E30">
        <v>1.4017299999999999</v>
      </c>
      <c r="F30">
        <f t="shared" si="8"/>
        <v>290</v>
      </c>
      <c r="G30" s="20">
        <v>60.955640000000002</v>
      </c>
      <c r="H30" s="20">
        <v>1.4319900000000001</v>
      </c>
      <c r="I30">
        <f t="shared" si="1"/>
        <v>1.005665431311745</v>
      </c>
      <c r="J30" s="20">
        <v>1.4239200000000001</v>
      </c>
      <c r="L30" s="11">
        <f t="shared" si="2"/>
        <v>143.33333333333337</v>
      </c>
      <c r="M30">
        <f t="shared" si="3"/>
        <v>143.6795594136</v>
      </c>
      <c r="O30" s="11">
        <f t="shared" si="4"/>
        <v>143.33333333333337</v>
      </c>
      <c r="P30">
        <f t="shared" si="5"/>
        <v>141.68650872879999</v>
      </c>
      <c r="S30" s="20">
        <v>0.24352199999999999</v>
      </c>
      <c r="T30" s="20">
        <v>0.246778</v>
      </c>
      <c r="U30" s="30">
        <f t="shared" si="6"/>
        <v>1.3370455236077161E-2</v>
      </c>
      <c r="W30" s="20">
        <v>1.4253800000000001</v>
      </c>
    </row>
    <row r="31" spans="1:23" x14ac:dyDescent="0.25">
      <c r="A31">
        <f t="shared" si="7"/>
        <v>300</v>
      </c>
      <c r="B31">
        <v>64.248279999999994</v>
      </c>
      <c r="C31" s="20">
        <v>0.35468899999999998</v>
      </c>
      <c r="D31">
        <f t="shared" si="0"/>
        <v>1.0016844954902138</v>
      </c>
      <c r="E31">
        <v>1.4012199999999999</v>
      </c>
      <c r="F31">
        <f t="shared" si="8"/>
        <v>300</v>
      </c>
      <c r="G31" s="20">
        <v>63.42295</v>
      </c>
      <c r="H31" s="20">
        <v>1.41275</v>
      </c>
      <c r="I31">
        <f t="shared" si="1"/>
        <v>1.0059429397159538</v>
      </c>
      <c r="J31" s="20">
        <v>1.42317</v>
      </c>
      <c r="L31" s="11">
        <f t="shared" si="2"/>
        <v>148.88888888888891</v>
      </c>
      <c r="M31">
        <f t="shared" si="3"/>
        <v>149.33998699759999</v>
      </c>
      <c r="O31" s="11">
        <f t="shared" si="4"/>
        <v>148.88888888888891</v>
      </c>
      <c r="P31">
        <f t="shared" si="5"/>
        <v>147.42157343899999</v>
      </c>
      <c r="S31" s="20">
        <v>0.24368899999999999</v>
      </c>
      <c r="T31" s="20">
        <v>0.246839</v>
      </c>
      <c r="U31" s="30">
        <f t="shared" si="6"/>
        <v>1.2926311815469882E-2</v>
      </c>
      <c r="W31" s="20">
        <v>1.4246399999999999</v>
      </c>
    </row>
    <row r="32" spans="1:23" x14ac:dyDescent="0.25">
      <c r="A32">
        <f t="shared" si="7"/>
        <v>310</v>
      </c>
      <c r="B32">
        <v>66.685730000000007</v>
      </c>
      <c r="C32" s="20">
        <v>0.35005700000000001</v>
      </c>
      <c r="D32">
        <f t="shared" si="0"/>
        <v>1.001752239409879</v>
      </c>
      <c r="E32">
        <v>1.4007099999999999</v>
      </c>
      <c r="F32">
        <f t="shared" si="8"/>
        <v>310</v>
      </c>
      <c r="G32" s="20">
        <v>65.891469999999998</v>
      </c>
      <c r="H32" s="20">
        <v>1.3940300000000001</v>
      </c>
      <c r="I32">
        <f t="shared" si="1"/>
        <v>1.0062061323532607</v>
      </c>
      <c r="J32" s="20">
        <v>1.4224399999999999</v>
      </c>
      <c r="L32" s="11">
        <f t="shared" si="2"/>
        <v>154.44444444444451</v>
      </c>
      <c r="M32">
        <f t="shared" si="3"/>
        <v>155.00564452660001</v>
      </c>
      <c r="O32" s="11">
        <f t="shared" si="4"/>
        <v>154.44444444444451</v>
      </c>
      <c r="P32">
        <f t="shared" si="5"/>
        <v>153.15945069739999</v>
      </c>
      <c r="S32" s="20">
        <v>0.24385899999999999</v>
      </c>
      <c r="T32" s="20">
        <v>0.24690799999999999</v>
      </c>
      <c r="U32" s="30">
        <f t="shared" si="6"/>
        <v>1.2503126806884257E-2</v>
      </c>
      <c r="W32" s="20">
        <v>1.4239200000000001</v>
      </c>
    </row>
    <row r="33" spans="1:23" x14ac:dyDescent="0.25">
      <c r="A33">
        <f t="shared" si="7"/>
        <v>320</v>
      </c>
      <c r="B33">
        <v>69.125630000000001</v>
      </c>
      <c r="C33" s="20">
        <v>0.34554400000000002</v>
      </c>
      <c r="D33">
        <f t="shared" si="0"/>
        <v>1.0018194691793891</v>
      </c>
      <c r="E33">
        <v>1.4001999999999999</v>
      </c>
      <c r="F33">
        <f t="shared" si="8"/>
        <v>320</v>
      </c>
      <c r="G33" s="20">
        <v>68.361369999999994</v>
      </c>
      <c r="H33" s="20">
        <v>1.37582</v>
      </c>
      <c r="I33">
        <f t="shared" si="1"/>
        <v>1.0064476651251555</v>
      </c>
      <c r="J33" s="20">
        <v>1.42171</v>
      </c>
      <c r="L33" s="11">
        <f t="shared" si="2"/>
        <v>160.00000000000006</v>
      </c>
      <c r="M33">
        <f t="shared" si="3"/>
        <v>160.67699688459999</v>
      </c>
      <c r="O33" s="11">
        <f t="shared" si="4"/>
        <v>160.00000000000006</v>
      </c>
      <c r="P33">
        <f t="shared" si="5"/>
        <v>158.90053565539998</v>
      </c>
      <c r="S33" s="20">
        <v>0.244032</v>
      </c>
      <c r="T33" s="20">
        <v>0.24698500000000001</v>
      </c>
      <c r="U33" s="30">
        <f t="shared" si="6"/>
        <v>1.2100872016784781E-2</v>
      </c>
      <c r="W33" s="20">
        <v>1.42317</v>
      </c>
    </row>
    <row r="34" spans="1:23" x14ac:dyDescent="0.25">
      <c r="A34">
        <f t="shared" si="7"/>
        <v>330</v>
      </c>
      <c r="B34">
        <v>71.567250000000001</v>
      </c>
      <c r="C34" s="20">
        <v>0.34114800000000001</v>
      </c>
      <c r="D34">
        <f t="shared" si="0"/>
        <v>1.0018787812615486</v>
      </c>
      <c r="E34">
        <v>1.39967</v>
      </c>
      <c r="F34">
        <f t="shared" si="8"/>
        <v>330</v>
      </c>
      <c r="G34" s="20">
        <v>70.831999999999994</v>
      </c>
      <c r="H34" s="20">
        <v>1.35809</v>
      </c>
      <c r="I34">
        <f t="shared" si="1"/>
        <v>1.0066753822495265</v>
      </c>
      <c r="J34" s="20">
        <v>1.42096</v>
      </c>
      <c r="L34" s="11">
        <f t="shared" si="2"/>
        <v>165.5555555555556</v>
      </c>
      <c r="M34">
        <f t="shared" si="3"/>
        <v>166.352347245</v>
      </c>
      <c r="O34" s="11">
        <f t="shared" si="4"/>
        <v>165.5555555555556</v>
      </c>
      <c r="P34">
        <f t="shared" si="5"/>
        <v>164.64331743999998</v>
      </c>
      <c r="S34" s="20">
        <v>0.24421000000000001</v>
      </c>
      <c r="T34" s="20">
        <v>0.24707100000000001</v>
      </c>
      <c r="U34" s="30">
        <f t="shared" si="6"/>
        <v>1.1715326972687512E-2</v>
      </c>
      <c r="W34" s="20">
        <v>1.4224399999999999</v>
      </c>
    </row>
    <row r="35" spans="1:23" x14ac:dyDescent="0.25">
      <c r="A35">
        <f t="shared" si="7"/>
        <v>340</v>
      </c>
      <c r="B35">
        <v>74.010630000000006</v>
      </c>
      <c r="C35" s="20">
        <v>0.33686199999999999</v>
      </c>
      <c r="D35">
        <f t="shared" si="0"/>
        <v>1.0019379378274738</v>
      </c>
      <c r="E35">
        <v>1.3991499999999999</v>
      </c>
      <c r="F35">
        <f t="shared" si="8"/>
        <v>340</v>
      </c>
      <c r="G35" s="20">
        <v>73.303430000000006</v>
      </c>
      <c r="H35" s="20">
        <v>1.34083</v>
      </c>
      <c r="I35">
        <f t="shared" si="1"/>
        <v>1.0068832517543267</v>
      </c>
      <c r="J35" s="20">
        <v>1.4201999999999999</v>
      </c>
      <c r="L35" s="11">
        <f t="shared" si="2"/>
        <v>171.11111111111114</v>
      </c>
      <c r="M35">
        <f t="shared" si="3"/>
        <v>172.03178858460001</v>
      </c>
      <c r="O35" s="11">
        <f t="shared" si="4"/>
        <v>171.11111111111114</v>
      </c>
      <c r="P35">
        <f t="shared" si="5"/>
        <v>170.38795876060001</v>
      </c>
      <c r="S35" s="20">
        <v>0.244393</v>
      </c>
      <c r="T35" s="20">
        <v>0.247166</v>
      </c>
      <c r="U35" s="30">
        <f t="shared" si="6"/>
        <v>1.1346478827134909E-2</v>
      </c>
      <c r="W35" s="20">
        <v>1.42171</v>
      </c>
    </row>
    <row r="36" spans="1:23" x14ac:dyDescent="0.25">
      <c r="A36">
        <f t="shared" si="7"/>
        <v>350</v>
      </c>
      <c r="B36">
        <v>76.455740000000006</v>
      </c>
      <c r="C36" s="20">
        <v>0.33268399999999998</v>
      </c>
      <c r="D36">
        <f t="shared" si="0"/>
        <v>1.0019906870032624</v>
      </c>
      <c r="E36">
        <v>1.3986099999999999</v>
      </c>
      <c r="F36">
        <f t="shared" si="8"/>
        <v>350</v>
      </c>
      <c r="G36" s="20">
        <v>75.775710000000004</v>
      </c>
      <c r="H36" s="20">
        <v>1.3240099999999999</v>
      </c>
      <c r="I36">
        <f t="shared" si="1"/>
        <v>1.0070808217913563</v>
      </c>
      <c r="J36" s="20">
        <v>1.4194899999999999</v>
      </c>
      <c r="L36" s="11">
        <f t="shared" si="2"/>
        <v>176.66666666666674</v>
      </c>
      <c r="M36">
        <f t="shared" si="3"/>
        <v>177.7152511708</v>
      </c>
      <c r="O36" s="11">
        <f t="shared" si="4"/>
        <v>176.66666666666674</v>
      </c>
      <c r="P36">
        <f t="shared" si="5"/>
        <v>176.13457583819999</v>
      </c>
      <c r="S36" s="20">
        <v>0.24457999999999999</v>
      </c>
      <c r="T36" s="20">
        <v>0.24726999999999999</v>
      </c>
      <c r="U36" s="30">
        <f t="shared" si="6"/>
        <v>1.099844631613367E-2</v>
      </c>
      <c r="W36" s="20">
        <v>1.42096</v>
      </c>
    </row>
    <row r="37" spans="1:23" x14ac:dyDescent="0.25">
      <c r="A37">
        <f t="shared" si="7"/>
        <v>360</v>
      </c>
      <c r="B37">
        <v>78.902749999999997</v>
      </c>
      <c r="C37" s="20">
        <v>0.32861000000000001</v>
      </c>
      <c r="D37">
        <f t="shared" si="0"/>
        <v>1.002037170660355</v>
      </c>
      <c r="E37">
        <v>1.3980699999999999</v>
      </c>
      <c r="F37">
        <f t="shared" si="8"/>
        <v>360</v>
      </c>
      <c r="G37" s="20">
        <v>78.248999999999995</v>
      </c>
      <c r="H37" s="20">
        <v>1.30762</v>
      </c>
      <c r="I37">
        <f t="shared" si="1"/>
        <v>1.0072633782006983</v>
      </c>
      <c r="J37" s="20">
        <v>1.41872</v>
      </c>
      <c r="L37" s="11">
        <f t="shared" si="2"/>
        <v>182.22222222222229</v>
      </c>
      <c r="M37">
        <f t="shared" si="3"/>
        <v>183.40313015499999</v>
      </c>
      <c r="O37" s="11">
        <f t="shared" si="4"/>
        <v>182.22222222222229</v>
      </c>
      <c r="P37">
        <f t="shared" si="5"/>
        <v>181.88354057999999</v>
      </c>
      <c r="S37" s="20">
        <v>0.24477299999999999</v>
      </c>
      <c r="T37" s="20">
        <v>0.24738199999999999</v>
      </c>
      <c r="U37" s="30">
        <f t="shared" si="6"/>
        <v>1.0658855347607687E-2</v>
      </c>
      <c r="W37" s="20">
        <v>1.4201999999999999</v>
      </c>
    </row>
    <row r="38" spans="1:23" x14ac:dyDescent="0.25">
      <c r="A38">
        <f t="shared" si="7"/>
        <v>370</v>
      </c>
      <c r="B38">
        <v>81.351619999999997</v>
      </c>
      <c r="C38" s="20">
        <v>0.32463399999999998</v>
      </c>
      <c r="D38">
        <f t="shared" si="0"/>
        <v>1.0020842998263375</v>
      </c>
      <c r="E38">
        <v>1.3975299999999999</v>
      </c>
      <c r="F38">
        <f t="shared" si="8"/>
        <v>370</v>
      </c>
      <c r="G38" s="20">
        <v>80.723320000000001</v>
      </c>
      <c r="H38" s="20">
        <v>1.29165</v>
      </c>
      <c r="I38">
        <f t="shared" si="1"/>
        <v>1.0074265771372222</v>
      </c>
      <c r="J38" s="20">
        <v>1.41797</v>
      </c>
      <c r="L38" s="11">
        <f t="shared" si="2"/>
        <v>187.77777777777783</v>
      </c>
      <c r="M38">
        <f t="shared" si="3"/>
        <v>189.09533256039998</v>
      </c>
      <c r="O38" s="11">
        <f t="shared" si="4"/>
        <v>187.77777777777783</v>
      </c>
      <c r="P38">
        <f t="shared" si="5"/>
        <v>187.63489947439999</v>
      </c>
      <c r="S38" s="20">
        <v>0.24496899999999999</v>
      </c>
      <c r="T38" s="20">
        <v>0.247502</v>
      </c>
      <c r="U38" s="30">
        <f t="shared" si="6"/>
        <v>1.0340083847343973E-2</v>
      </c>
      <c r="W38" s="20">
        <v>1.4194899999999999</v>
      </c>
    </row>
    <row r="39" spans="1:23" x14ac:dyDescent="0.25">
      <c r="A39">
        <f t="shared" si="7"/>
        <v>380</v>
      </c>
      <c r="B39">
        <v>83.802549999999997</v>
      </c>
      <c r="C39" s="20">
        <v>0.32075300000000001</v>
      </c>
      <c r="D39">
        <f t="shared" si="0"/>
        <v>1.0021305082297329</v>
      </c>
      <c r="E39">
        <v>1.3969800000000001</v>
      </c>
      <c r="F39">
        <f t="shared" si="8"/>
        <v>380</v>
      </c>
      <c r="G39" s="20">
        <v>83.199250000000006</v>
      </c>
      <c r="H39" s="20">
        <v>1.27606</v>
      </c>
      <c r="I39">
        <f t="shared" si="1"/>
        <v>1.0075901349661036</v>
      </c>
      <c r="J39" s="20">
        <v>1.4172199999999999</v>
      </c>
      <c r="L39" s="11">
        <f t="shared" si="2"/>
        <v>193.33333333333337</v>
      </c>
      <c r="M39">
        <f t="shared" si="3"/>
        <v>194.79232327099999</v>
      </c>
      <c r="O39" s="11">
        <f t="shared" si="4"/>
        <v>193.33333333333337</v>
      </c>
      <c r="P39">
        <f t="shared" si="5"/>
        <v>193.39000068500002</v>
      </c>
      <c r="S39" s="20">
        <v>0.24517</v>
      </c>
      <c r="T39" s="20">
        <v>0.24762999999999999</v>
      </c>
      <c r="U39" s="30">
        <f t="shared" si="6"/>
        <v>1.0033854060447878E-2</v>
      </c>
      <c r="W39" s="20">
        <v>1.41872</v>
      </c>
    </row>
    <row r="40" spans="1:23" x14ac:dyDescent="0.25">
      <c r="A40">
        <f t="shared" si="7"/>
        <v>390</v>
      </c>
      <c r="B40">
        <v>86.255549999999999</v>
      </c>
      <c r="C40" s="20">
        <v>0.31696400000000002</v>
      </c>
      <c r="D40">
        <f t="shared" si="0"/>
        <v>1.0021746755694461</v>
      </c>
      <c r="E40">
        <v>1.39642</v>
      </c>
      <c r="F40">
        <f t="shared" si="8"/>
        <v>390</v>
      </c>
      <c r="G40" s="20">
        <v>85.676879999999997</v>
      </c>
      <c r="H40" s="20">
        <v>1.2608299999999999</v>
      </c>
      <c r="I40">
        <f t="shared" si="1"/>
        <v>1.0077593136812861</v>
      </c>
      <c r="J40" s="20">
        <v>1.41648</v>
      </c>
      <c r="L40" s="11">
        <f t="shared" si="2"/>
        <v>198.88888888888891</v>
      </c>
      <c r="M40">
        <f t="shared" si="3"/>
        <v>200.49412553099998</v>
      </c>
      <c r="O40" s="11">
        <f t="shared" si="4"/>
        <v>198.88888888888891</v>
      </c>
      <c r="P40">
        <f t="shared" si="5"/>
        <v>199.14905340959999</v>
      </c>
      <c r="S40" s="20">
        <v>0.24537600000000001</v>
      </c>
      <c r="T40" s="20">
        <v>0.24776599999999999</v>
      </c>
      <c r="U40" s="30">
        <f t="shared" si="6"/>
        <v>9.7401538862804671E-3</v>
      </c>
      <c r="W40" s="20">
        <v>1.41797</v>
      </c>
    </row>
    <row r="41" spans="1:23" x14ac:dyDescent="0.25">
      <c r="A41">
        <f t="shared" si="7"/>
        <v>400</v>
      </c>
      <c r="B41">
        <v>88.710599999999999</v>
      </c>
      <c r="C41" s="20">
        <v>0.31326500000000002</v>
      </c>
      <c r="D41">
        <f t="shared" si="0"/>
        <v>1.0022129284888932</v>
      </c>
      <c r="E41">
        <v>1.3958600000000001</v>
      </c>
      <c r="F41">
        <f t="shared" si="8"/>
        <v>400</v>
      </c>
      <c r="G41" s="20">
        <v>88.155820000000006</v>
      </c>
      <c r="H41" s="20">
        <v>1.2459800000000001</v>
      </c>
      <c r="I41">
        <f t="shared" si="1"/>
        <v>1.0079077771491454</v>
      </c>
      <c r="J41" s="20">
        <v>1.4157299999999999</v>
      </c>
      <c r="L41" s="11">
        <f t="shared" si="2"/>
        <v>204.44444444444451</v>
      </c>
      <c r="M41">
        <f t="shared" si="3"/>
        <v>206.200692852</v>
      </c>
      <c r="O41" s="11">
        <f t="shared" si="4"/>
        <v>204.44444444444451</v>
      </c>
      <c r="P41">
        <f t="shared" si="5"/>
        <v>204.91115112439999</v>
      </c>
      <c r="S41" s="20">
        <v>0.245585</v>
      </c>
      <c r="T41" s="20">
        <v>0.24790899999999999</v>
      </c>
      <c r="U41" s="30">
        <f t="shared" si="6"/>
        <v>9.4631186758149521E-3</v>
      </c>
      <c r="W41" s="20">
        <v>1.4172199999999999</v>
      </c>
    </row>
    <row r="42" spans="1:23" ht="15.75" thickBot="1" x14ac:dyDescent="0.3">
      <c r="W42" s="20">
        <v>1.41648</v>
      </c>
    </row>
    <row r="43" spans="1:23" x14ac:dyDescent="0.25">
      <c r="A43" s="28"/>
      <c r="B43" s="1"/>
      <c r="C43" s="1"/>
      <c r="D43" s="1"/>
      <c r="E43" s="1"/>
      <c r="F43" s="1"/>
      <c r="G43" s="2"/>
      <c r="S43">
        <f>AVERAGE(S6:S42)</f>
        <v>0.24297888888888883</v>
      </c>
      <c r="T43">
        <f>AVERAGE(T6:T42)</f>
        <v>0.24759005555555552</v>
      </c>
      <c r="W43" s="20">
        <v>1.4157299999999999</v>
      </c>
    </row>
    <row r="44" spans="1:23" x14ac:dyDescent="0.25">
      <c r="A44" s="3"/>
      <c r="G44" s="4"/>
      <c r="S44">
        <f>AVERAGE(S43:T43)</f>
        <v>0.24528447222222216</v>
      </c>
    </row>
    <row r="45" spans="1:23" x14ac:dyDescent="0.25">
      <c r="A45" s="3" t="s">
        <v>61</v>
      </c>
      <c r="B45">
        <v>-8.4100210000000004</v>
      </c>
      <c r="G45" s="4">
        <v>-11.03116</v>
      </c>
      <c r="Q45" s="21"/>
      <c r="R45" s="21"/>
    </row>
    <row r="46" spans="1:23" x14ac:dyDescent="0.25">
      <c r="A46" s="3" t="s">
        <v>71</v>
      </c>
      <c r="B46">
        <v>0.2418738</v>
      </c>
      <c r="G46" s="29">
        <v>0.25219390000000003</v>
      </c>
      <c r="L46" s="21"/>
      <c r="M46" s="21"/>
      <c r="N46" s="21"/>
    </row>
    <row r="47" spans="1:23" x14ac:dyDescent="0.25">
      <c r="A47" s="3" t="s">
        <v>72</v>
      </c>
      <c r="B47" s="21">
        <v>-2.6414700000000001E-6</v>
      </c>
      <c r="G47" s="29">
        <v>-2.1922749999999999E-5</v>
      </c>
      <c r="I47" s="21"/>
      <c r="J47" s="21"/>
      <c r="K47" s="21"/>
      <c r="L47" s="21"/>
    </row>
    <row r="48" spans="1:23" x14ac:dyDescent="0.25">
      <c r="A48" s="3" t="s">
        <v>75</v>
      </c>
      <c r="B48" s="21">
        <v>1.2420029999999999E-8</v>
      </c>
      <c r="G48" s="29">
        <v>2.847735E-8</v>
      </c>
      <c r="I48" s="21"/>
      <c r="J48" s="21"/>
      <c r="K48" s="21"/>
      <c r="L48" s="21"/>
    </row>
    <row r="49" spans="1:12" x14ac:dyDescent="0.25">
      <c r="A49" s="3"/>
      <c r="G49" s="29"/>
      <c r="L49" s="21"/>
    </row>
    <row r="50" spans="1:12" x14ac:dyDescent="0.25">
      <c r="A50" s="3" t="s">
        <v>82</v>
      </c>
      <c r="G50" s="29"/>
      <c r="L50" s="21"/>
    </row>
    <row r="51" spans="1:12" x14ac:dyDescent="0.25">
      <c r="A51" s="3" t="s">
        <v>73</v>
      </c>
      <c r="B51">
        <v>300</v>
      </c>
      <c r="G51" s="4">
        <v>300</v>
      </c>
    </row>
    <row r="52" spans="1:12" ht="15.75" thickBot="1" x14ac:dyDescent="0.3">
      <c r="A52" s="6" t="s">
        <v>74</v>
      </c>
      <c r="B52" s="7">
        <f>B45+B46*B51+B47*B51^2+B48*B51^3</f>
        <v>64.24972751</v>
      </c>
      <c r="C52" s="7"/>
      <c r="D52" s="7"/>
      <c r="E52" s="7"/>
      <c r="F52" s="7"/>
      <c r="G52" s="8">
        <f>G45+G46*G51+G47*G51^2+G48*G51^3</f>
        <v>63.422850950000011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C8658-60D5-4B66-8158-C480EFC5D4DA}">
  <dimension ref="B1:E8"/>
  <sheetViews>
    <sheetView workbookViewId="0">
      <selection activeCell="K21" sqref="K21"/>
    </sheetView>
  </sheetViews>
  <sheetFormatPr defaultRowHeight="15" x14ac:dyDescent="0.25"/>
  <sheetData>
    <row r="1" spans="2:5" ht="15.75" thickBot="1" x14ac:dyDescent="0.3"/>
    <row r="2" spans="2:5" x14ac:dyDescent="0.25">
      <c r="B2" s="40">
        <v>4</v>
      </c>
      <c r="C2" s="41">
        <v>3</v>
      </c>
      <c r="D2" s="42">
        <v>8</v>
      </c>
      <c r="E2">
        <f>SUM(B2:D2)</f>
        <v>15</v>
      </c>
    </row>
    <row r="3" spans="2:5" x14ac:dyDescent="0.25">
      <c r="B3" s="43">
        <v>9</v>
      </c>
      <c r="C3" s="44">
        <v>5</v>
      </c>
      <c r="D3" s="45">
        <v>1</v>
      </c>
      <c r="E3">
        <f t="shared" ref="E3:E4" si="0">SUM(B3:D3)</f>
        <v>15</v>
      </c>
    </row>
    <row r="4" spans="2:5" ht="15.75" thickBot="1" x14ac:dyDescent="0.3">
      <c r="B4" s="46">
        <v>2</v>
      </c>
      <c r="C4" s="47">
        <v>7</v>
      </c>
      <c r="D4" s="48">
        <v>6</v>
      </c>
      <c r="E4">
        <f t="shared" si="0"/>
        <v>15</v>
      </c>
    </row>
    <row r="5" spans="2:5" x14ac:dyDescent="0.25">
      <c r="B5">
        <f>SUM(B2:B4)</f>
        <v>15</v>
      </c>
      <c r="C5">
        <f t="shared" ref="C5:D5" si="1">SUM(C2:C4)</f>
        <v>15</v>
      </c>
      <c r="D5">
        <f t="shared" si="1"/>
        <v>15</v>
      </c>
    </row>
    <row r="7" spans="2:5" x14ac:dyDescent="0.25">
      <c r="B7">
        <f>B2+C3+D4</f>
        <v>15</v>
      </c>
    </row>
    <row r="8" spans="2:5" x14ac:dyDescent="0.25">
      <c r="B8">
        <f>D2+C3+B4</f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50AA7-65B1-4AC8-8B9C-3D0BA5039912}">
  <dimension ref="A1:G28"/>
  <sheetViews>
    <sheetView showGridLines="0" workbookViewId="0"/>
  </sheetViews>
  <sheetFormatPr defaultRowHeight="15" x14ac:dyDescent="0.25"/>
  <cols>
    <col min="1" max="1" width="2.28515625" customWidth="1"/>
    <col min="2" max="2" width="6.140625" bestFit="1" customWidth="1"/>
    <col min="3" max="3" width="6.28515625" bestFit="1" customWidth="1"/>
    <col min="4" max="4" width="13.7109375" bestFit="1" customWidth="1"/>
    <col min="5" max="5" width="10.85546875" bestFit="1" customWidth="1"/>
    <col min="6" max="6" width="11.42578125" bestFit="1" customWidth="1"/>
    <col min="7" max="7" width="6.5703125" bestFit="1" customWidth="1"/>
  </cols>
  <sheetData>
    <row r="1" spans="1:5" x14ac:dyDescent="0.25">
      <c r="A1" s="19" t="s">
        <v>107</v>
      </c>
    </row>
    <row r="2" spans="1:5" x14ac:dyDescent="0.25">
      <c r="A2" s="19" t="s">
        <v>108</v>
      </c>
    </row>
    <row r="3" spans="1:5" x14ac:dyDescent="0.25">
      <c r="A3" s="19" t="s">
        <v>135</v>
      </c>
    </row>
    <row r="4" spans="1:5" x14ac:dyDescent="0.25">
      <c r="A4" s="19" t="s">
        <v>109</v>
      </c>
    </row>
    <row r="5" spans="1:5" x14ac:dyDescent="0.25">
      <c r="A5" s="19" t="s">
        <v>110</v>
      </c>
    </row>
    <row r="6" spans="1:5" x14ac:dyDescent="0.25">
      <c r="A6" s="19"/>
      <c r="B6" t="s">
        <v>111</v>
      </c>
    </row>
    <row r="7" spans="1:5" x14ac:dyDescent="0.25">
      <c r="A7" s="19"/>
      <c r="B7" t="s">
        <v>136</v>
      </c>
    </row>
    <row r="8" spans="1:5" x14ac:dyDescent="0.25">
      <c r="A8" s="19"/>
      <c r="B8" t="s">
        <v>137</v>
      </c>
    </row>
    <row r="9" spans="1:5" x14ac:dyDescent="0.25">
      <c r="A9" s="19" t="s">
        <v>112</v>
      </c>
    </row>
    <row r="10" spans="1:5" x14ac:dyDescent="0.25">
      <c r="B10" t="s">
        <v>113</v>
      </c>
    </row>
    <row r="11" spans="1:5" x14ac:dyDescent="0.25">
      <c r="B11" t="s">
        <v>114</v>
      </c>
    </row>
    <row r="12" spans="1:5" x14ac:dyDescent="0.25">
      <c r="B12" t="s">
        <v>115</v>
      </c>
    </row>
    <row r="14" spans="1:5" ht="15.75" thickBot="1" x14ac:dyDescent="0.3">
      <c r="A14" t="s">
        <v>116</v>
      </c>
    </row>
    <row r="15" spans="1:5" ht="15.75" thickBot="1" x14ac:dyDescent="0.3">
      <c r="B15" s="36" t="s">
        <v>117</v>
      </c>
      <c r="C15" s="36" t="s">
        <v>118</v>
      </c>
      <c r="D15" s="36" t="s">
        <v>119</v>
      </c>
      <c r="E15" s="36" t="s">
        <v>120</v>
      </c>
    </row>
    <row r="16" spans="1:5" ht="15.75" thickBot="1" x14ac:dyDescent="0.3">
      <c r="B16" s="35" t="s">
        <v>138</v>
      </c>
      <c r="C16" s="35" t="s">
        <v>106</v>
      </c>
      <c r="D16" s="38">
        <v>60.052194692823193</v>
      </c>
      <c r="E16" s="38">
        <v>0.31993900788347662</v>
      </c>
    </row>
    <row r="19" spans="1:7" ht="15.75" thickBot="1" x14ac:dyDescent="0.3">
      <c r="A19" t="s">
        <v>121</v>
      </c>
    </row>
    <row r="20" spans="1:7" ht="15.75" thickBot="1" x14ac:dyDescent="0.3">
      <c r="B20" s="36" t="s">
        <v>117</v>
      </c>
      <c r="C20" s="36" t="s">
        <v>118</v>
      </c>
      <c r="D20" s="36" t="s">
        <v>119</v>
      </c>
      <c r="E20" s="36" t="s">
        <v>120</v>
      </c>
      <c r="F20" s="36" t="s">
        <v>122</v>
      </c>
    </row>
    <row r="21" spans="1:7" x14ac:dyDescent="0.25">
      <c r="B21" s="37" t="s">
        <v>128</v>
      </c>
      <c r="C21" s="37" t="s">
        <v>129</v>
      </c>
      <c r="D21" s="39">
        <v>0.1</v>
      </c>
      <c r="E21" s="39">
        <v>0.2729250631535205</v>
      </c>
      <c r="F21" s="37" t="s">
        <v>130</v>
      </c>
    </row>
    <row r="22" spans="1:7" ht="15.75" thickBot="1" x14ac:dyDescent="0.3">
      <c r="B22" s="35" t="s">
        <v>139</v>
      </c>
      <c r="C22" s="35" t="s">
        <v>131</v>
      </c>
      <c r="D22" s="35">
        <v>0.8</v>
      </c>
      <c r="E22" s="35">
        <v>1</v>
      </c>
      <c r="F22" s="35" t="s">
        <v>130</v>
      </c>
    </row>
    <row r="25" spans="1:7" ht="15.75" thickBot="1" x14ac:dyDescent="0.3">
      <c r="A25" t="s">
        <v>123</v>
      </c>
    </row>
    <row r="26" spans="1:7" ht="15.75" thickBot="1" x14ac:dyDescent="0.3">
      <c r="B26" s="36" t="s">
        <v>117</v>
      </c>
      <c r="C26" s="36" t="s">
        <v>118</v>
      </c>
      <c r="D26" s="36" t="s">
        <v>124</v>
      </c>
      <c r="E26" s="36" t="s">
        <v>125</v>
      </c>
      <c r="F26" s="36" t="s">
        <v>126</v>
      </c>
      <c r="G26" s="36" t="s">
        <v>127</v>
      </c>
    </row>
    <row r="27" spans="1:7" x14ac:dyDescent="0.25">
      <c r="B27" s="37" t="s">
        <v>128</v>
      </c>
      <c r="C27" s="37" t="s">
        <v>129</v>
      </c>
      <c r="D27" s="39">
        <v>0.2729250631535205</v>
      </c>
      <c r="E27" s="37" t="s">
        <v>133</v>
      </c>
      <c r="F27" s="37" t="s">
        <v>132</v>
      </c>
      <c r="G27" s="39">
        <v>0.2729250631535205</v>
      </c>
    </row>
    <row r="28" spans="1:7" ht="15.75" thickBot="1" x14ac:dyDescent="0.3">
      <c r="B28" s="35" t="s">
        <v>139</v>
      </c>
      <c r="C28" s="35" t="s">
        <v>131</v>
      </c>
      <c r="D28" s="35">
        <v>1</v>
      </c>
      <c r="E28" s="35" t="s">
        <v>140</v>
      </c>
      <c r="F28" s="35" t="s">
        <v>134</v>
      </c>
      <c r="G28" s="3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327D9-C659-4C55-9707-7AE7FB89A43B}">
  <dimension ref="A1:E13"/>
  <sheetViews>
    <sheetView showGridLines="0" workbookViewId="0"/>
  </sheetViews>
  <sheetFormatPr defaultRowHeight="15" x14ac:dyDescent="0.25"/>
  <cols>
    <col min="1" max="1" width="2.28515625" customWidth="1"/>
    <col min="2" max="3" width="6.28515625" bestFit="1" customWidth="1"/>
    <col min="4" max="5" width="12" bestFit="1" customWidth="1"/>
  </cols>
  <sheetData>
    <row r="1" spans="1:5" x14ac:dyDescent="0.25">
      <c r="A1" s="19" t="s">
        <v>141</v>
      </c>
    </row>
    <row r="2" spans="1:5" x14ac:dyDescent="0.25">
      <c r="A2" s="19" t="s">
        <v>108</v>
      </c>
    </row>
    <row r="3" spans="1:5" x14ac:dyDescent="0.25">
      <c r="A3" s="19" t="s">
        <v>135</v>
      </c>
    </row>
    <row r="6" spans="1:5" ht="15.75" thickBot="1" x14ac:dyDescent="0.3">
      <c r="A6" t="s">
        <v>121</v>
      </c>
    </row>
    <row r="7" spans="1:5" x14ac:dyDescent="0.25">
      <c r="B7" s="49"/>
      <c r="C7" s="49"/>
      <c r="D7" s="49" t="s">
        <v>142</v>
      </c>
      <c r="E7" s="49" t="s">
        <v>144</v>
      </c>
    </row>
    <row r="8" spans="1:5" ht="15.75" thickBot="1" x14ac:dyDescent="0.3">
      <c r="B8" s="50" t="s">
        <v>117</v>
      </c>
      <c r="C8" s="50" t="s">
        <v>118</v>
      </c>
      <c r="D8" s="50" t="s">
        <v>143</v>
      </c>
      <c r="E8" s="50" t="s">
        <v>145</v>
      </c>
    </row>
    <row r="9" spans="1:5" x14ac:dyDescent="0.25">
      <c r="B9" s="37" t="s">
        <v>128</v>
      </c>
      <c r="C9" s="37" t="s">
        <v>129</v>
      </c>
      <c r="D9" s="37">
        <v>0.2729250631535205</v>
      </c>
      <c r="E9" s="37">
        <v>0</v>
      </c>
    </row>
    <row r="10" spans="1:5" ht="15.75" thickBot="1" x14ac:dyDescent="0.3">
      <c r="B10" s="35" t="s">
        <v>139</v>
      </c>
      <c r="C10" s="35" t="s">
        <v>131</v>
      </c>
      <c r="D10" s="35">
        <v>1</v>
      </c>
      <c r="E10" s="35">
        <v>6.9569352945109131E-7</v>
      </c>
    </row>
    <row r="12" spans="1:5" x14ac:dyDescent="0.25">
      <c r="A12" t="s">
        <v>123</v>
      </c>
    </row>
    <row r="13" spans="1:5" x14ac:dyDescent="0.25">
      <c r="B13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57790-06C9-4349-B873-5D314CDA21C6}">
  <dimension ref="A1:J14"/>
  <sheetViews>
    <sheetView showGridLines="0" workbookViewId="0"/>
  </sheetViews>
  <sheetFormatPr defaultRowHeight="15" x14ac:dyDescent="0.25"/>
  <cols>
    <col min="1" max="1" width="2.28515625" customWidth="1"/>
    <col min="2" max="2" width="6.140625" bestFit="1" customWidth="1"/>
    <col min="3" max="3" width="9.5703125" bestFit="1" customWidth="1"/>
    <col min="4" max="4" width="6.5703125" bestFit="1" customWidth="1"/>
    <col min="5" max="5" width="2.28515625" customWidth="1"/>
    <col min="6" max="6" width="6.5703125" bestFit="1" customWidth="1"/>
    <col min="7" max="7" width="9.5703125" bestFit="1" customWidth="1"/>
    <col min="8" max="8" width="2.28515625" customWidth="1"/>
    <col min="9" max="9" width="6.5703125" bestFit="1" customWidth="1"/>
    <col min="10" max="10" width="12" bestFit="1" customWidth="1"/>
  </cols>
  <sheetData>
    <row r="1" spans="1:10" x14ac:dyDescent="0.25">
      <c r="A1" s="19" t="s">
        <v>147</v>
      </c>
    </row>
    <row r="2" spans="1:10" x14ac:dyDescent="0.25">
      <c r="A2" s="19" t="s">
        <v>108</v>
      </c>
    </row>
    <row r="3" spans="1:10" x14ac:dyDescent="0.25">
      <c r="A3" s="19" t="s">
        <v>135</v>
      </c>
    </row>
    <row r="5" spans="1:10" ht="15.75" thickBot="1" x14ac:dyDescent="0.3"/>
    <row r="6" spans="1:10" x14ac:dyDescent="0.25">
      <c r="B6" s="49"/>
      <c r="C6" s="49" t="s">
        <v>148</v>
      </c>
      <c r="D6" s="49"/>
    </row>
    <row r="7" spans="1:10" ht="15.75" thickBot="1" x14ac:dyDescent="0.3">
      <c r="B7" s="50" t="s">
        <v>117</v>
      </c>
      <c r="C7" s="50" t="s">
        <v>118</v>
      </c>
      <c r="D7" s="50" t="s">
        <v>143</v>
      </c>
    </row>
    <row r="8" spans="1:10" ht="15.75" thickBot="1" x14ac:dyDescent="0.3">
      <c r="B8" s="35" t="s">
        <v>138</v>
      </c>
      <c r="C8" s="35" t="s">
        <v>106</v>
      </c>
      <c r="D8" s="38">
        <v>0.31993900788347662</v>
      </c>
    </row>
    <row r="10" spans="1:10" ht="15.75" thickBot="1" x14ac:dyDescent="0.3"/>
    <row r="11" spans="1:10" x14ac:dyDescent="0.25">
      <c r="B11" s="49"/>
      <c r="C11" s="49" t="s">
        <v>149</v>
      </c>
      <c r="D11" s="49"/>
      <c r="F11" s="49" t="s">
        <v>150</v>
      </c>
      <c r="G11" s="49" t="s">
        <v>148</v>
      </c>
      <c r="I11" s="49" t="s">
        <v>153</v>
      </c>
      <c r="J11" s="49" t="s">
        <v>148</v>
      </c>
    </row>
    <row r="12" spans="1:10" ht="15.75" thickBot="1" x14ac:dyDescent="0.3">
      <c r="B12" s="50" t="s">
        <v>117</v>
      </c>
      <c r="C12" s="50" t="s">
        <v>118</v>
      </c>
      <c r="D12" s="50" t="s">
        <v>143</v>
      </c>
      <c r="F12" s="50" t="s">
        <v>151</v>
      </c>
      <c r="G12" s="50" t="s">
        <v>152</v>
      </c>
      <c r="I12" s="50" t="s">
        <v>151</v>
      </c>
      <c r="J12" s="50" t="s">
        <v>152</v>
      </c>
    </row>
    <row r="13" spans="1:10" x14ac:dyDescent="0.25">
      <c r="B13" s="37" t="s">
        <v>128</v>
      </c>
      <c r="C13" s="37" t="s">
        <v>129</v>
      </c>
      <c r="D13" s="39">
        <v>0.2729250631535205</v>
      </c>
      <c r="F13" s="39">
        <v>0</v>
      </c>
      <c r="G13" s="39" t="e">
        <v>#DIV/0!</v>
      </c>
      <c r="I13" s="37" t="e">
        <v>#N/A</v>
      </c>
      <c r="J13" s="37" t="e">
        <v>#N/A</v>
      </c>
    </row>
    <row r="14" spans="1:10" ht="15.75" thickBot="1" x14ac:dyDescent="0.3">
      <c r="B14" s="35" t="s">
        <v>139</v>
      </c>
      <c r="C14" s="35" t="s">
        <v>131</v>
      </c>
      <c r="D14" s="35">
        <v>1</v>
      </c>
      <c r="F14" s="35">
        <v>0</v>
      </c>
      <c r="G14" s="35" t="e">
        <v>#DIV/0!</v>
      </c>
      <c r="I14" s="35">
        <v>1</v>
      </c>
      <c r="J14" s="35">
        <v>0.31993900788347662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DA11F-61F1-4A7D-B475-A519ABF758FA}">
  <dimension ref="A1:G28"/>
  <sheetViews>
    <sheetView showGridLines="0" workbookViewId="0"/>
  </sheetViews>
  <sheetFormatPr defaultRowHeight="15" x14ac:dyDescent="0.25"/>
  <cols>
    <col min="1" max="1" width="2.28515625" customWidth="1"/>
    <col min="2" max="2" width="6.140625" bestFit="1" customWidth="1"/>
    <col min="3" max="3" width="6.28515625" bestFit="1" customWidth="1"/>
    <col min="4" max="4" width="13.7109375" bestFit="1" customWidth="1"/>
    <col min="5" max="5" width="12" bestFit="1" customWidth="1"/>
    <col min="6" max="6" width="11.42578125" bestFit="1" customWidth="1"/>
    <col min="7" max="7" width="12" bestFit="1" customWidth="1"/>
  </cols>
  <sheetData>
    <row r="1" spans="1:5" x14ac:dyDescent="0.25">
      <c r="A1" s="19" t="s">
        <v>107</v>
      </c>
    </row>
    <row r="2" spans="1:5" x14ac:dyDescent="0.25">
      <c r="A2" s="19" t="s">
        <v>108</v>
      </c>
    </row>
    <row r="3" spans="1:5" x14ac:dyDescent="0.25">
      <c r="A3" s="19" t="s">
        <v>154</v>
      </c>
    </row>
    <row r="4" spans="1:5" x14ac:dyDescent="0.25">
      <c r="A4" s="19" t="s">
        <v>109</v>
      </c>
    </row>
    <row r="5" spans="1:5" x14ac:dyDescent="0.25">
      <c r="A5" s="19" t="s">
        <v>110</v>
      </c>
    </row>
    <row r="6" spans="1:5" x14ac:dyDescent="0.25">
      <c r="A6" s="19"/>
      <c r="B6" t="s">
        <v>111</v>
      </c>
    </row>
    <row r="7" spans="1:5" x14ac:dyDescent="0.25">
      <c r="A7" s="19"/>
      <c r="B7" t="s">
        <v>155</v>
      </c>
    </row>
    <row r="8" spans="1:5" x14ac:dyDescent="0.25">
      <c r="A8" s="19"/>
      <c r="B8" t="s">
        <v>156</v>
      </c>
    </row>
    <row r="9" spans="1:5" x14ac:dyDescent="0.25">
      <c r="A9" s="19" t="s">
        <v>112</v>
      </c>
    </row>
    <row r="10" spans="1:5" x14ac:dyDescent="0.25">
      <c r="B10" t="s">
        <v>113</v>
      </c>
    </row>
    <row r="11" spans="1:5" x14ac:dyDescent="0.25">
      <c r="B11" t="s">
        <v>114</v>
      </c>
    </row>
    <row r="12" spans="1:5" x14ac:dyDescent="0.25">
      <c r="B12" t="s">
        <v>115</v>
      </c>
    </row>
    <row r="14" spans="1:5" ht="15.75" thickBot="1" x14ac:dyDescent="0.3">
      <c r="A14" t="s">
        <v>116</v>
      </c>
    </row>
    <row r="15" spans="1:5" ht="15.75" thickBot="1" x14ac:dyDescent="0.3">
      <c r="B15" s="36" t="s">
        <v>117</v>
      </c>
      <c r="C15" s="36" t="s">
        <v>118</v>
      </c>
      <c r="D15" s="36" t="s">
        <v>119</v>
      </c>
      <c r="E15" s="36" t="s">
        <v>120</v>
      </c>
    </row>
    <row r="16" spans="1:5" ht="15.75" thickBot="1" x14ac:dyDescent="0.3">
      <c r="B16" s="35" t="s">
        <v>138</v>
      </c>
      <c r="C16" s="35" t="s">
        <v>106</v>
      </c>
      <c r="D16" s="38">
        <v>7.2588959017825715E-6</v>
      </c>
      <c r="E16" s="38">
        <v>7.2588959017825715E-6</v>
      </c>
    </row>
    <row r="19" spans="1:7" ht="15.75" thickBot="1" x14ac:dyDescent="0.3">
      <c r="A19" t="s">
        <v>121</v>
      </c>
    </row>
    <row r="20" spans="1:7" ht="15.75" thickBot="1" x14ac:dyDescent="0.3">
      <c r="B20" s="36" t="s">
        <v>117</v>
      </c>
      <c r="C20" s="36" t="s">
        <v>118</v>
      </c>
      <c r="D20" s="36" t="s">
        <v>119</v>
      </c>
      <c r="E20" s="36" t="s">
        <v>120</v>
      </c>
      <c r="F20" s="36" t="s">
        <v>122</v>
      </c>
    </row>
    <row r="21" spans="1:7" x14ac:dyDescent="0.25">
      <c r="B21" s="37" t="s">
        <v>128</v>
      </c>
      <c r="C21" s="37" t="s">
        <v>129</v>
      </c>
      <c r="D21" s="39">
        <v>0.20484879619653526</v>
      </c>
      <c r="E21" s="39">
        <v>0.20484879619653526</v>
      </c>
      <c r="F21" s="37" t="s">
        <v>130</v>
      </c>
    </row>
    <row r="22" spans="1:7" ht="15.75" thickBot="1" x14ac:dyDescent="0.3">
      <c r="B22" s="35" t="s">
        <v>139</v>
      </c>
      <c r="C22" s="35" t="s">
        <v>131</v>
      </c>
      <c r="D22" s="35">
        <v>0.27067407450244924</v>
      </c>
      <c r="E22" s="35">
        <v>0.27067407450244924</v>
      </c>
      <c r="F22" s="35" t="s">
        <v>130</v>
      </c>
    </row>
    <row r="25" spans="1:7" ht="15.75" thickBot="1" x14ac:dyDescent="0.3">
      <c r="A25" t="s">
        <v>123</v>
      </c>
    </row>
    <row r="26" spans="1:7" ht="15.75" thickBot="1" x14ac:dyDescent="0.3">
      <c r="B26" s="36" t="s">
        <v>117</v>
      </c>
      <c r="C26" s="36" t="s">
        <v>118</v>
      </c>
      <c r="D26" s="36" t="s">
        <v>124</v>
      </c>
      <c r="E26" s="36" t="s">
        <v>125</v>
      </c>
      <c r="F26" s="36" t="s">
        <v>126</v>
      </c>
      <c r="G26" s="36" t="s">
        <v>127</v>
      </c>
    </row>
    <row r="27" spans="1:7" x14ac:dyDescent="0.25">
      <c r="B27" s="37" t="s">
        <v>128</v>
      </c>
      <c r="C27" s="37" t="s">
        <v>129</v>
      </c>
      <c r="D27" s="39">
        <v>0.20484879619653526</v>
      </c>
      <c r="E27" s="37" t="s">
        <v>133</v>
      </c>
      <c r="F27" s="37" t="s">
        <v>132</v>
      </c>
      <c r="G27" s="39">
        <v>0.20484879619653526</v>
      </c>
    </row>
    <row r="28" spans="1:7" ht="15.75" thickBot="1" x14ac:dyDescent="0.3">
      <c r="B28" s="35" t="s">
        <v>139</v>
      </c>
      <c r="C28" s="35" t="s">
        <v>131</v>
      </c>
      <c r="D28" s="35">
        <v>0.27067407450244924</v>
      </c>
      <c r="E28" s="35" t="s">
        <v>140</v>
      </c>
      <c r="F28" s="35" t="s">
        <v>132</v>
      </c>
      <c r="G28" s="35">
        <v>0.72932592549755082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67"/>
  <sheetViews>
    <sheetView tabSelected="1" workbookViewId="0">
      <selection activeCell="I3" sqref="I3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97</v>
      </c>
      <c r="C2" s="26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56</v>
      </c>
      <c r="G3" s="4"/>
    </row>
    <row r="4" spans="2:7" x14ac:dyDescent="0.25">
      <c r="B4" s="27" t="s">
        <v>3</v>
      </c>
      <c r="C4" s="5">
        <f>Rg*2.20462*1.8/737.562</f>
        <v>0.2870559540052226</v>
      </c>
      <c r="D4" t="s">
        <v>57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59</v>
      </c>
      <c r="C6">
        <v>32.173999999999999</v>
      </c>
      <c r="D6" t="s">
        <v>8</v>
      </c>
      <c r="E6" t="s">
        <v>64</v>
      </c>
      <c r="G6" s="4"/>
    </row>
    <row r="7" spans="2:7" x14ac:dyDescent="0.25">
      <c r="B7" s="27" t="s">
        <v>59</v>
      </c>
      <c r="C7">
        <v>1</v>
      </c>
      <c r="D7" t="s">
        <v>94</v>
      </c>
      <c r="G7" s="4"/>
    </row>
    <row r="8" spans="2:7" x14ac:dyDescent="0.25">
      <c r="B8" s="3" t="s">
        <v>30</v>
      </c>
      <c r="C8">
        <v>459.67</v>
      </c>
      <c r="D8" t="s">
        <v>27</v>
      </c>
      <c r="E8" t="s">
        <v>28</v>
      </c>
      <c r="G8" s="4"/>
    </row>
    <row r="9" spans="2:7" x14ac:dyDescent="0.25">
      <c r="B9" s="27" t="s">
        <v>30</v>
      </c>
      <c r="C9">
        <v>273.14999999999998</v>
      </c>
      <c r="D9" t="s">
        <v>95</v>
      </c>
      <c r="E9" t="s">
        <v>60</v>
      </c>
      <c r="G9" s="4"/>
    </row>
    <row r="10" spans="2:7" x14ac:dyDescent="0.25">
      <c r="B10" s="3" t="s">
        <v>62</v>
      </c>
      <c r="C10">
        <v>778.17</v>
      </c>
      <c r="D10" t="s">
        <v>31</v>
      </c>
      <c r="E10" t="s">
        <v>63</v>
      </c>
      <c r="G10" s="4"/>
    </row>
    <row r="11" spans="2:7" x14ac:dyDescent="0.25">
      <c r="B11" s="3" t="s">
        <v>86</v>
      </c>
      <c r="C11">
        <v>0.245</v>
      </c>
      <c r="D11" t="s">
        <v>87</v>
      </c>
      <c r="E11" t="s">
        <v>88</v>
      </c>
      <c r="G11" s="4"/>
    </row>
    <row r="12" spans="2:7" x14ac:dyDescent="0.25">
      <c r="B12" s="27" t="s">
        <v>86</v>
      </c>
      <c r="C12" s="10">
        <f>cp*4.18396</f>
        <v>1.0250702</v>
      </c>
      <c r="D12" t="s">
        <v>57</v>
      </c>
      <c r="G12" s="4"/>
    </row>
    <row r="13" spans="2:7" x14ac:dyDescent="0.25">
      <c r="B13" s="3"/>
      <c r="G13" s="4"/>
    </row>
    <row r="14" spans="2:7" x14ac:dyDescent="0.25">
      <c r="B14" s="25" t="s">
        <v>96</v>
      </c>
      <c r="C14" s="22"/>
      <c r="G14" s="4"/>
    </row>
    <row r="15" spans="2:7" x14ac:dyDescent="0.25">
      <c r="B15" s="3" t="s">
        <v>33</v>
      </c>
      <c r="C15">
        <v>100</v>
      </c>
      <c r="D15" t="s">
        <v>15</v>
      </c>
      <c r="E15" t="s">
        <v>34</v>
      </c>
      <c r="G15" s="4"/>
    </row>
    <row r="16" spans="2:7" x14ac:dyDescent="0.25">
      <c r="B16" s="27" t="s">
        <v>33</v>
      </c>
      <c r="C16" s="11">
        <f>L/3.28084</f>
        <v>30.47999902464003</v>
      </c>
      <c r="D16" t="s">
        <v>58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7" t="s">
        <v>12</v>
      </c>
      <c r="C18">
        <f>C17*2.54</f>
        <v>7.62</v>
      </c>
      <c r="D18" t="s">
        <v>65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7" t="s">
        <v>12</v>
      </c>
      <c r="C20" s="9">
        <f>D/3.28</f>
        <v>7.621951219512195E-2</v>
      </c>
      <c r="D20" t="s">
        <v>58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7" t="s">
        <v>16</v>
      </c>
      <c r="C22" s="10">
        <f>PI()/4*C18^2</f>
        <v>45.603673118774793</v>
      </c>
      <c r="D22" t="s">
        <v>66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7" t="s">
        <v>16</v>
      </c>
      <c r="C24" s="5">
        <f>PI()/4*C20^2</f>
        <v>4.5627031168519964E-3</v>
      </c>
      <c r="D24" t="s">
        <v>67</v>
      </c>
      <c r="G24" s="4"/>
    </row>
    <row r="25" spans="2:7" ht="15.75" thickBot="1" x14ac:dyDescent="0.3">
      <c r="B25" s="6" t="s">
        <v>35</v>
      </c>
      <c r="C25" s="7">
        <v>1.7000000000000001E-2</v>
      </c>
      <c r="D25" s="16" t="s">
        <v>6</v>
      </c>
      <c r="E25" s="7" t="s">
        <v>103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33" t="s">
        <v>9</v>
      </c>
      <c r="C37" s="51">
        <v>20</v>
      </c>
      <c r="D37" t="s">
        <v>11</v>
      </c>
      <c r="E37" t="s">
        <v>10</v>
      </c>
      <c r="I37" s="11"/>
      <c r="P37" s="4"/>
    </row>
    <row r="38" spans="2:16" x14ac:dyDescent="0.25">
      <c r="B38" s="27" t="s">
        <v>9</v>
      </c>
      <c r="C38" s="11">
        <f>mdot*0.45359</f>
        <v>9.0717999999999996</v>
      </c>
      <c r="D38" t="s">
        <v>81</v>
      </c>
      <c r="P38" s="4"/>
    </row>
    <row r="39" spans="2:16" x14ac:dyDescent="0.25">
      <c r="B39" s="3" t="s">
        <v>39</v>
      </c>
      <c r="C39" s="15">
        <v>200</v>
      </c>
      <c r="D39" t="s">
        <v>2</v>
      </c>
      <c r="P39" s="4"/>
    </row>
    <row r="40" spans="2:16" x14ac:dyDescent="0.25">
      <c r="B40" s="27" t="s">
        <v>39</v>
      </c>
      <c r="C40" s="24">
        <f>(C39+459.67)/1.8-273.15</f>
        <v>93.333333333333371</v>
      </c>
      <c r="D40" t="s">
        <v>98</v>
      </c>
      <c r="P40" s="4"/>
    </row>
    <row r="41" spans="2:16" x14ac:dyDescent="0.25">
      <c r="B41" s="3" t="s">
        <v>39</v>
      </c>
      <c r="C41">
        <f>C39+C8</f>
        <v>659.67000000000007</v>
      </c>
      <c r="D41" t="s">
        <v>21</v>
      </c>
      <c r="E41" t="s">
        <v>22</v>
      </c>
      <c r="P41" s="4"/>
    </row>
    <row r="42" spans="2:16" x14ac:dyDescent="0.25">
      <c r="B42" s="3" t="s">
        <v>23</v>
      </c>
      <c r="C42" s="15">
        <v>1</v>
      </c>
      <c r="D42" t="s">
        <v>93</v>
      </c>
      <c r="P42" s="4"/>
    </row>
    <row r="43" spans="2:16" x14ac:dyDescent="0.25">
      <c r="B43" s="3"/>
      <c r="P43" s="4"/>
    </row>
    <row r="44" spans="2:16" x14ac:dyDescent="0.25">
      <c r="B44" s="3"/>
      <c r="P44" s="4"/>
    </row>
    <row r="45" spans="2:16" x14ac:dyDescent="0.25">
      <c r="B45" s="25" t="s">
        <v>24</v>
      </c>
      <c r="P45" s="4"/>
    </row>
    <row r="46" spans="2:16" x14ac:dyDescent="0.25">
      <c r="B46" s="3" t="s">
        <v>51</v>
      </c>
      <c r="C46" s="34">
        <v>310.8</v>
      </c>
      <c r="D46" t="s">
        <v>1</v>
      </c>
      <c r="P46" s="4"/>
    </row>
    <row r="47" spans="2:16" x14ac:dyDescent="0.25">
      <c r="B47" s="27" t="str">
        <f>B46</f>
        <v>Po2</v>
      </c>
      <c r="C47" s="24">
        <f>Po_2*6.89476</f>
        <v>2142.891408</v>
      </c>
      <c r="D47" t="s">
        <v>78</v>
      </c>
      <c r="P47" s="4"/>
    </row>
    <row r="48" spans="2:16" x14ac:dyDescent="0.25">
      <c r="B48" s="27"/>
      <c r="C48" s="24"/>
      <c r="P48" s="4"/>
    </row>
    <row r="49" spans="2:16" x14ac:dyDescent="0.25">
      <c r="B49" s="54" t="s">
        <v>165</v>
      </c>
      <c r="P49" s="4"/>
    </row>
    <row r="50" spans="2:16" x14ac:dyDescent="0.25">
      <c r="B50" s="3" t="s">
        <v>52</v>
      </c>
      <c r="C50" s="11">
        <f>To_1</f>
        <v>659.67000000000007</v>
      </c>
      <c r="D50" t="s">
        <v>21</v>
      </c>
      <c r="P50" s="4"/>
    </row>
    <row r="51" spans="2:16" x14ac:dyDescent="0.25">
      <c r="B51" s="3" t="s">
        <v>52</v>
      </c>
      <c r="C51" s="11">
        <f>C50-C8</f>
        <v>200.00000000000006</v>
      </c>
      <c r="D51" t="s">
        <v>2</v>
      </c>
      <c r="J51" s="19"/>
      <c r="P51" s="4"/>
    </row>
    <row r="52" spans="2:16" x14ac:dyDescent="0.25">
      <c r="B52" s="27" t="str">
        <f>B51</f>
        <v>To2</v>
      </c>
      <c r="C52" s="24">
        <f>(C51+459.67)/1.8-273.15</f>
        <v>93.333333333333371</v>
      </c>
      <c r="D52" t="s">
        <v>98</v>
      </c>
      <c r="P52" s="4"/>
    </row>
    <row r="53" spans="2:16" x14ac:dyDescent="0.25">
      <c r="B53" s="3"/>
      <c r="P53" s="4"/>
    </row>
    <row r="54" spans="2:16" x14ac:dyDescent="0.25">
      <c r="B54" s="3"/>
      <c r="P54" s="4"/>
    </row>
    <row r="55" spans="2:16" x14ac:dyDescent="0.25">
      <c r="B55" s="54" t="s">
        <v>166</v>
      </c>
      <c r="P55" s="4"/>
    </row>
    <row r="56" spans="2:16" x14ac:dyDescent="0.25">
      <c r="B56" s="3"/>
      <c r="P56" s="4"/>
    </row>
    <row r="57" spans="2:16" x14ac:dyDescent="0.25">
      <c r="B57" s="3"/>
      <c r="P57" s="4"/>
    </row>
    <row r="58" spans="2:16" x14ac:dyDescent="0.25">
      <c r="B58" s="3" t="s">
        <v>37</v>
      </c>
      <c r="C58" s="14">
        <v>0.26537922331238156</v>
      </c>
      <c r="D58" s="15" t="s">
        <v>89</v>
      </c>
      <c r="E58" s="15"/>
      <c r="P58" s="4"/>
    </row>
    <row r="59" spans="2:16" x14ac:dyDescent="0.25">
      <c r="B59" s="3" t="s">
        <v>20</v>
      </c>
      <c r="C59">
        <f>(Gam/Z/Rg)^0.5*M_2*(1+M_2^2*(Gam-1)/2)^(-(Gam+1)/2/(Gam-1))</f>
        <v>4.1221913428735171E-2</v>
      </c>
      <c r="D59" t="s">
        <v>162</v>
      </c>
      <c r="P59" s="4"/>
    </row>
    <row r="60" spans="2:16" x14ac:dyDescent="0.25">
      <c r="B60" s="3"/>
      <c r="P60" s="4"/>
    </row>
    <row r="61" spans="2:16" x14ac:dyDescent="0.25">
      <c r="B61" s="3" t="s">
        <v>164</v>
      </c>
      <c r="C61" s="56">
        <f>(Po_2/To_2^0.5)*gc^0.5*144*A*C59</f>
        <v>20.000032876302821</v>
      </c>
      <c r="D61" t="s">
        <v>11</v>
      </c>
      <c r="P61" s="4"/>
    </row>
    <row r="62" spans="2:16" x14ac:dyDescent="0.25">
      <c r="B62" s="27" t="s">
        <v>9</v>
      </c>
      <c r="C62" s="11">
        <f>mdot*0.45359</f>
        <v>9.0717999999999996</v>
      </c>
      <c r="D62" t="s">
        <v>81</v>
      </c>
      <c r="I62" s="11"/>
      <c r="P62" s="4"/>
    </row>
    <row r="63" spans="2:16" x14ac:dyDescent="0.25">
      <c r="B63" s="32"/>
      <c r="C63" s="5"/>
      <c r="D63" s="31"/>
      <c r="P63" s="4"/>
    </row>
    <row r="64" spans="2:16" x14ac:dyDescent="0.25">
      <c r="B64" s="32" t="s">
        <v>163</v>
      </c>
      <c r="C64" s="55">
        <f>C61-mdot</f>
        <v>3.2876302821449599E-5</v>
      </c>
      <c r="D64" s="31" t="s">
        <v>90</v>
      </c>
      <c r="P64" s="4"/>
    </row>
    <row r="65" spans="2:16" x14ac:dyDescent="0.25">
      <c r="B65" s="3"/>
      <c r="P65" s="4"/>
    </row>
    <row r="66" spans="2:16" x14ac:dyDescent="0.25">
      <c r="B66" s="3"/>
      <c r="P66" s="4"/>
    </row>
    <row r="67" spans="2:16" x14ac:dyDescent="0.25">
      <c r="B67" s="3"/>
      <c r="P67" s="4"/>
    </row>
    <row r="68" spans="2:16" x14ac:dyDescent="0.25">
      <c r="B68" s="3"/>
      <c r="P68" s="4"/>
    </row>
    <row r="69" spans="2:16" x14ac:dyDescent="0.25">
      <c r="B69" s="3"/>
      <c r="P69" s="4"/>
    </row>
    <row r="70" spans="2:16" x14ac:dyDescent="0.25">
      <c r="B70" s="3"/>
      <c r="P70" s="4"/>
    </row>
    <row r="71" spans="2:16" x14ac:dyDescent="0.25">
      <c r="B71" s="3"/>
      <c r="P71" s="4"/>
    </row>
    <row r="72" spans="2:16" x14ac:dyDescent="0.25">
      <c r="B72" s="3"/>
      <c r="P72" s="4"/>
    </row>
    <row r="73" spans="2:16" x14ac:dyDescent="0.25">
      <c r="B73" s="3"/>
      <c r="P73" s="4"/>
    </row>
    <row r="74" spans="2:16" x14ac:dyDescent="0.25">
      <c r="B74" s="3"/>
      <c r="P74" s="4"/>
    </row>
    <row r="75" spans="2:16" x14ac:dyDescent="0.25">
      <c r="B75" s="3"/>
      <c r="P75" s="4"/>
    </row>
    <row r="76" spans="2:16" x14ac:dyDescent="0.25">
      <c r="B76" s="54" t="s">
        <v>167</v>
      </c>
      <c r="P76" s="4"/>
    </row>
    <row r="77" spans="2:16" x14ac:dyDescent="0.25">
      <c r="B77" s="3"/>
      <c r="P77" s="4"/>
    </row>
    <row r="78" spans="2:16" x14ac:dyDescent="0.25">
      <c r="B78" s="3"/>
      <c r="P78" s="4"/>
    </row>
    <row r="79" spans="2:16" x14ac:dyDescent="0.25">
      <c r="B79" s="3" t="s">
        <v>40</v>
      </c>
      <c r="C79" s="14">
        <v>0.20261027104590121</v>
      </c>
      <c r="D79" s="15" t="s">
        <v>89</v>
      </c>
      <c r="E79" s="15"/>
      <c r="P79" s="4"/>
    </row>
    <row r="80" spans="2:16" ht="15.75" thickBot="1" x14ac:dyDescent="0.3">
      <c r="B80" s="3"/>
      <c r="P80" s="4"/>
    </row>
    <row r="81" spans="2:16" ht="15.75" thickBot="1" x14ac:dyDescent="0.3">
      <c r="B81" s="3"/>
      <c r="E81" s="52" t="s">
        <v>157</v>
      </c>
      <c r="F81" s="53"/>
      <c r="P81" s="4"/>
    </row>
    <row r="82" spans="2:16" x14ac:dyDescent="0.25">
      <c r="B82" s="3"/>
      <c r="P82" s="4"/>
    </row>
    <row r="83" spans="2:16" x14ac:dyDescent="0.25">
      <c r="B83" s="3" t="s">
        <v>36</v>
      </c>
      <c r="C83" s="18">
        <f>f*L/D</f>
        <v>6.8000000000000007</v>
      </c>
      <c r="D83" t="s">
        <v>104</v>
      </c>
      <c r="P83" s="4"/>
    </row>
    <row r="84" spans="2:16" x14ac:dyDescent="0.25">
      <c r="B84" s="32" t="s">
        <v>159</v>
      </c>
      <c r="P84" s="4"/>
    </row>
    <row r="85" spans="2:16" x14ac:dyDescent="0.25">
      <c r="B85" s="3" t="s">
        <v>160</v>
      </c>
      <c r="C85" s="18">
        <f>1/Gam*(1/M_1^2-1/M_2^2)+(Gam+1)/2/Gam*LN((M_1^2/M_2^2)*(1+M_2^2*(Gam-1)/2)/(1+M_1^2*(Gam-1)/2))</f>
        <v>6.7999893707141839</v>
      </c>
      <c r="D85" t="s">
        <v>161</v>
      </c>
      <c r="P85" s="4"/>
    </row>
    <row r="86" spans="2:16" x14ac:dyDescent="0.25">
      <c r="B86" s="32"/>
      <c r="C86" s="31"/>
      <c r="D86" s="31"/>
      <c r="P86" s="4"/>
    </row>
    <row r="87" spans="2:16" x14ac:dyDescent="0.25">
      <c r="B87" s="32" t="s">
        <v>168</v>
      </c>
      <c r="C87" s="55">
        <f>C83-C85</f>
        <v>1.0629285816854406E-5</v>
      </c>
      <c r="D87" s="31" t="s">
        <v>90</v>
      </c>
      <c r="P87" s="4"/>
    </row>
    <row r="88" spans="2:16" x14ac:dyDescent="0.25">
      <c r="B88" s="3"/>
      <c r="P88" s="4"/>
    </row>
    <row r="89" spans="2:16" x14ac:dyDescent="0.25">
      <c r="B89" s="3"/>
      <c r="P89" s="4"/>
    </row>
    <row r="90" spans="2:16" x14ac:dyDescent="0.25">
      <c r="B90" s="3"/>
      <c r="P90" s="4"/>
    </row>
    <row r="91" spans="2:16" x14ac:dyDescent="0.25">
      <c r="B91" s="3"/>
      <c r="P91" s="4"/>
    </row>
    <row r="92" spans="2:16" x14ac:dyDescent="0.25">
      <c r="B92" s="3"/>
      <c r="P92" s="4"/>
    </row>
    <row r="93" spans="2:16" x14ac:dyDescent="0.25">
      <c r="B93" s="3"/>
      <c r="P93" s="4"/>
    </row>
    <row r="94" spans="2:16" x14ac:dyDescent="0.25">
      <c r="B94" s="3"/>
      <c r="P94" s="4"/>
    </row>
    <row r="95" spans="2:16" x14ac:dyDescent="0.25">
      <c r="B95" s="3"/>
      <c r="P95" s="4"/>
    </row>
    <row r="96" spans="2:16" x14ac:dyDescent="0.25">
      <c r="B96" s="3"/>
      <c r="P96" s="4"/>
    </row>
    <row r="97" spans="2:16" ht="15.75" thickBot="1" x14ac:dyDescent="0.3">
      <c r="B97" s="54" t="s">
        <v>169</v>
      </c>
      <c r="P97" s="4"/>
    </row>
    <row r="98" spans="2:16" ht="15.75" thickBot="1" x14ac:dyDescent="0.3">
      <c r="B98" s="3"/>
      <c r="E98" s="52" t="s">
        <v>158</v>
      </c>
      <c r="F98" s="53"/>
      <c r="P98" s="4"/>
    </row>
    <row r="99" spans="2:16" x14ac:dyDescent="0.25">
      <c r="B99" s="32"/>
      <c r="C99" s="10"/>
      <c r="D99" s="31"/>
      <c r="P99" s="4"/>
    </row>
    <row r="100" spans="2:16" x14ac:dyDescent="0.25">
      <c r="B100" s="3" t="s">
        <v>38</v>
      </c>
      <c r="C100" s="11">
        <f>Po_2*(M_2*(1+M_2^2*(Gam-1)/2)^(-(Gam+1)/2/(Gam-1)))/(M_1*(1+M_1^2*(Gam-1)/2)^(-(Gam+1)/2/(Gam-1)))</f>
        <v>400.05190635439635</v>
      </c>
      <c r="D100" t="s">
        <v>1</v>
      </c>
      <c r="P100" s="4"/>
    </row>
    <row r="101" spans="2:16" x14ac:dyDescent="0.25">
      <c r="B101" s="27" t="s">
        <v>38</v>
      </c>
      <c r="C101" s="24">
        <f>Po_1*6.89476</f>
        <v>2758.2618818560377</v>
      </c>
      <c r="D101" t="s">
        <v>78</v>
      </c>
      <c r="P101" s="4"/>
    </row>
    <row r="102" spans="2:16" x14ac:dyDescent="0.25">
      <c r="B102" s="32"/>
      <c r="C102" s="5"/>
      <c r="D102" s="31"/>
      <c r="P102" s="4"/>
    </row>
    <row r="103" spans="2:16" x14ac:dyDescent="0.25">
      <c r="B103" s="32"/>
      <c r="C103" s="5"/>
      <c r="D103" s="31"/>
      <c r="P103" s="4"/>
    </row>
    <row r="104" spans="2:16" x14ac:dyDescent="0.25">
      <c r="B104" s="32"/>
      <c r="C104" s="5"/>
      <c r="D104" s="31"/>
      <c r="P104" s="4"/>
    </row>
    <row r="105" spans="2:16" x14ac:dyDescent="0.25">
      <c r="B105" s="32"/>
      <c r="C105" s="5"/>
      <c r="D105" s="31"/>
      <c r="P105" s="4"/>
    </row>
    <row r="106" spans="2:16" x14ac:dyDescent="0.25">
      <c r="B106" s="54" t="s">
        <v>170</v>
      </c>
      <c r="C106" s="5"/>
      <c r="D106" s="31"/>
      <c r="P106" s="4"/>
    </row>
    <row r="107" spans="2:16" x14ac:dyDescent="0.25">
      <c r="B107" s="32"/>
      <c r="C107" s="5"/>
      <c r="D107" s="31"/>
      <c r="P107" s="4"/>
    </row>
    <row r="108" spans="2:16" x14ac:dyDescent="0.25">
      <c r="B108" s="3"/>
      <c r="P108" s="4"/>
    </row>
    <row r="109" spans="2:16" x14ac:dyDescent="0.25">
      <c r="B109" s="3" t="s">
        <v>41</v>
      </c>
      <c r="C109" s="10">
        <f>Po_1/(1+M_1^2*(Gam-1)/2)^(Gam/(Gam-1))</f>
        <v>388.76536233868831</v>
      </c>
      <c r="D109" t="s">
        <v>1</v>
      </c>
      <c r="P109" s="4"/>
    </row>
    <row r="110" spans="2:16" x14ac:dyDescent="0.25">
      <c r="B110" s="27" t="str">
        <f>B109</f>
        <v>P1</v>
      </c>
      <c r="C110" s="24">
        <f>P_1*6.89476</f>
        <v>2680.4438696382945</v>
      </c>
      <c r="D110" t="s">
        <v>78</v>
      </c>
      <c r="P110" s="4"/>
    </row>
    <row r="111" spans="2:16" x14ac:dyDescent="0.25">
      <c r="B111" s="3" t="s">
        <v>42</v>
      </c>
      <c r="C111" s="10">
        <f>To_1/(1+M_1^2*(Gam-1)/2)</f>
        <v>654.29809202067145</v>
      </c>
      <c r="D111" t="s">
        <v>21</v>
      </c>
      <c r="P111" s="4"/>
    </row>
    <row r="112" spans="2:16" x14ac:dyDescent="0.25">
      <c r="B112" s="3" t="s">
        <v>42</v>
      </c>
      <c r="C112" s="10">
        <f>C111-C8</f>
        <v>194.62809202067143</v>
      </c>
      <c r="D112" t="s">
        <v>2</v>
      </c>
      <c r="P112" s="4"/>
    </row>
    <row r="113" spans="2:16" x14ac:dyDescent="0.25">
      <c r="B113" s="27" t="str">
        <f>B112</f>
        <v>T1</v>
      </c>
      <c r="C113" s="24">
        <f>(C112+459.67)/1.8-273.15</f>
        <v>90.34894001148416</v>
      </c>
      <c r="D113" t="s">
        <v>98</v>
      </c>
      <c r="P113" s="4"/>
    </row>
    <row r="114" spans="2:16" x14ac:dyDescent="0.25">
      <c r="B114" s="3" t="s">
        <v>43</v>
      </c>
      <c r="C114" s="10">
        <f>P_1*144/Z/Rg/T_1</f>
        <v>1.6036720407322493</v>
      </c>
      <c r="D114" t="s">
        <v>26</v>
      </c>
      <c r="P114" s="4"/>
    </row>
    <row r="115" spans="2:16" x14ac:dyDescent="0.25">
      <c r="B115" s="27" t="str">
        <f>B114</f>
        <v>rho1</v>
      </c>
      <c r="C115" s="24">
        <f>rho_1*16.01846</f>
        <v>25.68835643758791</v>
      </c>
      <c r="D115" t="s">
        <v>99</v>
      </c>
      <c r="P115" s="4"/>
    </row>
    <row r="116" spans="2:16" x14ac:dyDescent="0.25">
      <c r="B116" s="3" t="s">
        <v>44</v>
      </c>
      <c r="C116" s="11">
        <f>mdot/rho_1/A</f>
        <v>254.06482370872618</v>
      </c>
      <c r="D116" t="s">
        <v>25</v>
      </c>
      <c r="P116" s="4"/>
    </row>
    <row r="117" spans="2:16" x14ac:dyDescent="0.25">
      <c r="B117" s="27" t="str">
        <f>B116</f>
        <v>V1</v>
      </c>
      <c r="C117" s="24">
        <f>V_1/3.28</f>
        <v>77.458787716075065</v>
      </c>
      <c r="D117" t="s">
        <v>100</v>
      </c>
      <c r="P117" s="4"/>
    </row>
    <row r="118" spans="2:16" x14ac:dyDescent="0.25">
      <c r="B118" s="3" t="s">
        <v>91</v>
      </c>
      <c r="C118" s="11">
        <f>V_1/M_1</f>
        <v>1253.9582637998051</v>
      </c>
      <c r="D118" t="s">
        <v>32</v>
      </c>
      <c r="P118" s="4"/>
    </row>
    <row r="119" spans="2:16" x14ac:dyDescent="0.25">
      <c r="B119" s="27" t="str">
        <f>B118</f>
        <v>c1</v>
      </c>
      <c r="C119" s="24">
        <f>c_1/3.28</f>
        <v>382.30434871945278</v>
      </c>
      <c r="D119" t="s">
        <v>101</v>
      </c>
      <c r="P119" s="4"/>
    </row>
    <row r="120" spans="2:16" x14ac:dyDescent="0.25">
      <c r="B120" s="3"/>
      <c r="P120" s="4"/>
    </row>
    <row r="121" spans="2:16" x14ac:dyDescent="0.25">
      <c r="B121" s="3"/>
      <c r="P121" s="4"/>
    </row>
    <row r="122" spans="2:16" x14ac:dyDescent="0.25">
      <c r="B122" s="3"/>
      <c r="P122" s="4"/>
    </row>
    <row r="123" spans="2:16" x14ac:dyDescent="0.25">
      <c r="B123" s="3"/>
      <c r="P123" s="4"/>
    </row>
    <row r="124" spans="2:16" x14ac:dyDescent="0.25">
      <c r="B124" s="3"/>
      <c r="P124" s="4"/>
    </row>
    <row r="125" spans="2:16" x14ac:dyDescent="0.25">
      <c r="B125" s="3"/>
      <c r="P125" s="4"/>
    </row>
    <row r="126" spans="2:16" x14ac:dyDescent="0.25">
      <c r="B126" s="3" t="s">
        <v>45</v>
      </c>
      <c r="C126" s="10">
        <f>cp*(T_1)</f>
        <v>160.3030325450645</v>
      </c>
      <c r="D126" t="s">
        <v>29</v>
      </c>
      <c r="E126" s="12" t="s">
        <v>102</v>
      </c>
      <c r="P126" s="4"/>
    </row>
    <row r="127" spans="2:16" x14ac:dyDescent="0.25">
      <c r="B127" s="27" t="str">
        <f>B126</f>
        <v>h1</v>
      </c>
      <c r="C127" s="24">
        <f>h_1*2.32442</f>
        <v>372.61157490839878</v>
      </c>
      <c r="D127" t="s">
        <v>80</v>
      </c>
      <c r="E127" s="12"/>
      <c r="P127" s="4"/>
    </row>
    <row r="128" spans="2:16" x14ac:dyDescent="0.25">
      <c r="B128" s="3" t="s">
        <v>46</v>
      </c>
      <c r="C128" s="10">
        <f>h_1+0.5*V_1^2/C10/gc</f>
        <v>161.59211156966697</v>
      </c>
      <c r="D128" t="s">
        <v>29</v>
      </c>
      <c r="P128" s="4"/>
    </row>
    <row r="129" spans="2:16" x14ac:dyDescent="0.25">
      <c r="B129" s="27" t="str">
        <f>B128</f>
        <v>ho1</v>
      </c>
      <c r="C129" s="24">
        <f>ho_1*2.32442</f>
        <v>375.60793597476527</v>
      </c>
      <c r="D129" t="s">
        <v>80</v>
      </c>
      <c r="P129" s="4"/>
    </row>
    <row r="130" spans="2:16" x14ac:dyDescent="0.25">
      <c r="B130" s="3"/>
      <c r="P130" s="4"/>
    </row>
    <row r="131" spans="2:16" ht="15.75" thickBot="1" x14ac:dyDescent="0.3">
      <c r="B131" s="6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8"/>
    </row>
    <row r="133" spans="2:16" ht="15.75" thickBot="1" x14ac:dyDescent="0.3"/>
    <row r="134" spans="2:16" x14ac:dyDescent="0.25">
      <c r="B134" s="13" t="s">
        <v>24</v>
      </c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2"/>
    </row>
    <row r="135" spans="2:16" x14ac:dyDescent="0.25">
      <c r="B135" s="3"/>
      <c r="P135" s="4"/>
    </row>
    <row r="136" spans="2:16" x14ac:dyDescent="0.25">
      <c r="B136" s="3"/>
      <c r="P136" s="4"/>
    </row>
    <row r="137" spans="2:16" x14ac:dyDescent="0.25">
      <c r="B137" s="3"/>
      <c r="P137" s="4"/>
    </row>
    <row r="138" spans="2:16" x14ac:dyDescent="0.25">
      <c r="B138" s="3" t="s">
        <v>105</v>
      </c>
      <c r="P138" s="4"/>
    </row>
    <row r="139" spans="2:16" x14ac:dyDescent="0.25">
      <c r="B139" s="3" t="s">
        <v>47</v>
      </c>
      <c r="C139" s="10">
        <f>ho_1</f>
        <v>161.59211156966697</v>
      </c>
      <c r="D139" t="s">
        <v>29</v>
      </c>
      <c r="P139" s="4"/>
    </row>
    <row r="140" spans="2:16" x14ac:dyDescent="0.25">
      <c r="B140" s="27" t="str">
        <f>B139</f>
        <v>ho2</v>
      </c>
      <c r="C140" s="24">
        <f>ho_2*2.32442</f>
        <v>375.60793597476527</v>
      </c>
      <c r="D140" t="s">
        <v>80</v>
      </c>
      <c r="P140" s="4"/>
    </row>
    <row r="141" spans="2:16" x14ac:dyDescent="0.25">
      <c r="B141" s="27"/>
      <c r="C141" s="24"/>
      <c r="P141" s="4"/>
    </row>
    <row r="142" spans="2:16" x14ac:dyDescent="0.25">
      <c r="B142" s="3"/>
      <c r="P142" s="4"/>
    </row>
    <row r="143" spans="2:16" x14ac:dyDescent="0.25">
      <c r="B143" s="3" t="s">
        <v>48</v>
      </c>
      <c r="P143" s="4"/>
    </row>
    <row r="144" spans="2:16" x14ac:dyDescent="0.25">
      <c r="B144" s="3"/>
      <c r="P144" s="4"/>
    </row>
    <row r="145" spans="2:16" x14ac:dyDescent="0.25">
      <c r="B145" s="3" t="s">
        <v>49</v>
      </c>
      <c r="C145" s="11">
        <f>P_1*M_1/M_2*((2+M_1^2*(Gam-1))/(2+M_2^2*(Gam-1)))^0.5</f>
        <v>295.95141095925635</v>
      </c>
      <c r="D145" t="s">
        <v>1</v>
      </c>
      <c r="P145" s="4"/>
    </row>
    <row r="146" spans="2:16" x14ac:dyDescent="0.25">
      <c r="B146" s="27" t="str">
        <f>B145</f>
        <v>P2</v>
      </c>
      <c r="C146" s="24">
        <f>P_2*6.89476</f>
        <v>2040.5139502254422</v>
      </c>
      <c r="D146" t="s">
        <v>78</v>
      </c>
      <c r="P146" s="4"/>
    </row>
    <row r="147" spans="2:16" x14ac:dyDescent="0.25">
      <c r="B147" s="3" t="s">
        <v>50</v>
      </c>
      <c r="C147" s="11">
        <f>T_1*((2+M_1^2*(Gam-1))/(2+M_2^2*(Gam-1)))</f>
        <v>650.50745519707971</v>
      </c>
      <c r="D147" t="s">
        <v>21</v>
      </c>
      <c r="P147" s="4"/>
    </row>
    <row r="148" spans="2:16" x14ac:dyDescent="0.25">
      <c r="B148" s="3" t="s">
        <v>50</v>
      </c>
      <c r="C148" s="11">
        <f>C147-C8</f>
        <v>190.83745519707969</v>
      </c>
      <c r="D148" t="s">
        <v>2</v>
      </c>
      <c r="P148" s="4"/>
    </row>
    <row r="149" spans="2:16" x14ac:dyDescent="0.25">
      <c r="B149" s="27" t="str">
        <f>B148</f>
        <v>T2</v>
      </c>
      <c r="C149" s="24">
        <f>(C148+459.67)/1.8-273.15</f>
        <v>88.243030665044273</v>
      </c>
      <c r="D149" t="s">
        <v>98</v>
      </c>
      <c r="P149" s="4"/>
    </row>
    <row r="150" spans="2:16" x14ac:dyDescent="0.25">
      <c r="B150" s="27"/>
      <c r="C150" s="24"/>
      <c r="P150" s="4"/>
    </row>
    <row r="151" spans="2:16" x14ac:dyDescent="0.25">
      <c r="B151" s="27"/>
      <c r="C151" s="24"/>
      <c r="P151" s="4"/>
    </row>
    <row r="152" spans="2:16" x14ac:dyDescent="0.25">
      <c r="B152" s="27"/>
      <c r="C152" s="24"/>
      <c r="P152" s="4"/>
    </row>
    <row r="153" spans="2:16" x14ac:dyDescent="0.25">
      <c r="B153" s="3" t="s">
        <v>53</v>
      </c>
      <c r="C153" s="9">
        <f>P_2*144/Z/Rg/T_2</f>
        <v>1.2279248380620558</v>
      </c>
      <c r="D153" t="s">
        <v>26</v>
      </c>
      <c r="P153" s="4"/>
    </row>
    <row r="154" spans="2:16" x14ac:dyDescent="0.25">
      <c r="B154" s="27" t="str">
        <f>B153</f>
        <v>rho2</v>
      </c>
      <c r="C154" s="24">
        <f>rho_2*16.01846</f>
        <v>19.66946490150352</v>
      </c>
      <c r="D154" t="s">
        <v>99</v>
      </c>
      <c r="P154" s="4"/>
    </row>
    <row r="155" spans="2:16" x14ac:dyDescent="0.25">
      <c r="B155" s="3" t="s">
        <v>54</v>
      </c>
      <c r="C155" s="11">
        <f>mdot/rho_2/A</f>
        <v>331.80911541644491</v>
      </c>
      <c r="D155" t="s">
        <v>25</v>
      </c>
      <c r="P155" s="4"/>
    </row>
    <row r="156" spans="2:16" x14ac:dyDescent="0.25">
      <c r="B156" s="27" t="str">
        <f>B155</f>
        <v>V2</v>
      </c>
      <c r="C156" s="24">
        <f>V_2/3.28</f>
        <v>101.1613156757454</v>
      </c>
      <c r="D156" t="s">
        <v>100</v>
      </c>
      <c r="P156" s="4"/>
    </row>
    <row r="157" spans="2:16" x14ac:dyDescent="0.25">
      <c r="B157" s="3"/>
      <c r="P157" s="4"/>
    </row>
    <row r="158" spans="2:16" x14ac:dyDescent="0.25">
      <c r="B158" s="3" t="s">
        <v>55</v>
      </c>
      <c r="C158" s="17">
        <f>ho_2-0.5*V_2^2/C10/gc</f>
        <v>159.39340593977249</v>
      </c>
      <c r="D158" t="s">
        <v>29</v>
      </c>
      <c r="P158" s="4"/>
    </row>
    <row r="159" spans="2:16" x14ac:dyDescent="0.25">
      <c r="B159" s="27" t="str">
        <f>B158</f>
        <v>h2</v>
      </c>
      <c r="C159" s="24">
        <f>h_2*2.32442</f>
        <v>370.49722063452595</v>
      </c>
      <c r="D159" t="s">
        <v>80</v>
      </c>
      <c r="P159" s="4"/>
    </row>
    <row r="160" spans="2:16" x14ac:dyDescent="0.25">
      <c r="B160" s="3" t="s">
        <v>92</v>
      </c>
      <c r="C160" s="11">
        <f>V_2/M_2</f>
        <v>1250.3206214672948</v>
      </c>
      <c r="D160" t="s">
        <v>32</v>
      </c>
      <c r="P160" s="4"/>
    </row>
    <row r="161" spans="2:16" x14ac:dyDescent="0.25">
      <c r="B161" s="27" t="str">
        <f>B160</f>
        <v>c2</v>
      </c>
      <c r="C161" s="24">
        <f>c_2/3.28</f>
        <v>381.19531142295574</v>
      </c>
      <c r="D161" t="s">
        <v>101</v>
      </c>
      <c r="P161" s="4"/>
    </row>
    <row r="162" spans="2:16" x14ac:dyDescent="0.25">
      <c r="B162" s="3"/>
      <c r="P162" s="4"/>
    </row>
    <row r="163" spans="2:16" x14ac:dyDescent="0.25">
      <c r="B163" s="3"/>
      <c r="P163" s="4"/>
    </row>
    <row r="164" spans="2:16" x14ac:dyDescent="0.25">
      <c r="B164" s="3"/>
      <c r="P164" s="4"/>
    </row>
    <row r="165" spans="2:16" x14ac:dyDescent="0.25">
      <c r="B165" s="3"/>
      <c r="P165" s="4"/>
    </row>
    <row r="166" spans="2:16" x14ac:dyDescent="0.25">
      <c r="B166" s="3"/>
      <c r="P166" s="4"/>
    </row>
    <row r="167" spans="2:16" ht="15.75" thickBot="1" x14ac:dyDescent="0.3">
      <c r="B167" s="6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8"/>
    </row>
  </sheetData>
  <phoneticPr fontId="4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59" r:id="rId4">
          <objectPr defaultSize="0" r:id="rId5">
            <anchor moveWithCells="1" sizeWithCells="1">
              <from>
                <xdr:col>4</xdr:col>
                <xdr:colOff>590550</xdr:colOff>
                <xdr:row>152</xdr:row>
                <xdr:rowOff>152400</xdr:rowOff>
              </from>
              <to>
                <xdr:col>6</xdr:col>
                <xdr:colOff>457200</xdr:colOff>
                <xdr:row>154</xdr:row>
                <xdr:rowOff>57150</xdr:rowOff>
              </to>
            </anchor>
          </objectPr>
        </oleObject>
      </mc:Choice>
      <mc:Fallback>
        <oleObject progId="Equation.3" shapeId="1059" r:id="rId4"/>
      </mc:Fallback>
    </mc:AlternateContent>
    <mc:AlternateContent xmlns:mc="http://schemas.openxmlformats.org/markup-compatibility/2006">
      <mc:Choice Requires="x14">
        <oleObject progId="Equation.3" shapeId="1058" r:id="rId6">
          <objectPr defaultSize="0" r:id="rId7">
            <anchor moveWithCells="1" sizeWithCells="1">
              <from>
                <xdr:col>4</xdr:col>
                <xdr:colOff>581025</xdr:colOff>
                <xdr:row>147</xdr:row>
                <xdr:rowOff>38100</xdr:rowOff>
              </from>
              <to>
                <xdr:col>8</xdr:col>
                <xdr:colOff>171450</xdr:colOff>
                <xdr:row>151</xdr:row>
                <xdr:rowOff>57150</xdr:rowOff>
              </to>
            </anchor>
          </objectPr>
        </oleObject>
      </mc:Choice>
      <mc:Fallback>
        <oleObject progId="Equation.3" shapeId="1058" r:id="rId6"/>
      </mc:Fallback>
    </mc:AlternateContent>
    <mc:AlternateContent xmlns:mc="http://schemas.openxmlformats.org/markup-compatibility/2006">
      <mc:Choice Requires="x14">
        <oleObject progId="Equation.3" shapeId="1057" r:id="rId8">
          <objectPr defaultSize="0" r:id="rId9">
            <anchor moveWithCells="1" sizeWithCells="1">
              <from>
                <xdr:col>4</xdr:col>
                <xdr:colOff>561975</xdr:colOff>
                <xdr:row>142</xdr:row>
                <xdr:rowOff>57150</xdr:rowOff>
              </from>
              <to>
                <xdr:col>9</xdr:col>
                <xdr:colOff>152400</xdr:colOff>
                <xdr:row>146</xdr:row>
                <xdr:rowOff>133350</xdr:rowOff>
              </to>
            </anchor>
          </objectPr>
        </oleObject>
      </mc:Choice>
      <mc:Fallback>
        <oleObject progId="Equation.3" shapeId="1057" r:id="rId8"/>
      </mc:Fallback>
    </mc:AlternateContent>
    <mc:AlternateContent xmlns:mc="http://schemas.openxmlformats.org/markup-compatibility/2006">
      <mc:Choice Requires="x14">
        <oleObject progId="Equation.3" shapeId="1035" r:id="rId10">
          <objectPr defaultSize="0" r:id="rId11">
            <anchor moveWithCells="1" sizeWithCells="1">
              <from>
                <xdr:col>5</xdr:col>
                <xdr:colOff>257175</xdr:colOff>
                <xdr:row>126</xdr:row>
                <xdr:rowOff>114300</xdr:rowOff>
              </from>
              <to>
                <xdr:col>7</xdr:col>
                <xdr:colOff>285750</xdr:colOff>
                <xdr:row>130</xdr:row>
                <xdr:rowOff>66675</xdr:rowOff>
              </to>
            </anchor>
          </objectPr>
        </oleObject>
      </mc:Choice>
      <mc:Fallback>
        <oleObject progId="Equation.3" shapeId="1035" r:id="rId10"/>
      </mc:Fallback>
    </mc:AlternateContent>
    <mc:AlternateContent xmlns:mc="http://schemas.openxmlformats.org/markup-compatibility/2006">
      <mc:Choice Requires="x14">
        <oleObject progId="Equation.3" shapeId="1037" r:id="rId12">
          <objectPr defaultSize="0" r:id="rId5">
            <anchor moveWithCells="1" sizeWithCells="1">
              <from>
                <xdr:col>5</xdr:col>
                <xdr:colOff>171450</xdr:colOff>
                <xdr:row>116</xdr:row>
                <xdr:rowOff>19050</xdr:rowOff>
              </from>
              <to>
                <xdr:col>7</xdr:col>
                <xdr:colOff>38100</xdr:colOff>
                <xdr:row>117</xdr:row>
                <xdr:rowOff>114300</xdr:rowOff>
              </to>
            </anchor>
          </objectPr>
        </oleObject>
      </mc:Choice>
      <mc:Fallback>
        <oleObject progId="Equation.3" shapeId="1037" r:id="rId12"/>
      </mc:Fallback>
    </mc:AlternateContent>
    <mc:AlternateContent xmlns:mc="http://schemas.openxmlformats.org/markup-compatibility/2006">
      <mc:Choice Requires="x14">
        <oleObject progId="Equation.3" shapeId="1038" r:id="rId13">
          <objectPr defaultSize="0" r:id="rId14">
            <anchor moveWithCells="1" sizeWithCells="1">
              <from>
                <xdr:col>6</xdr:col>
                <xdr:colOff>600075</xdr:colOff>
                <xdr:row>119</xdr:row>
                <xdr:rowOff>180975</xdr:rowOff>
              </from>
              <to>
                <xdr:col>9</xdr:col>
                <xdr:colOff>104775</xdr:colOff>
                <xdr:row>123</xdr:row>
                <xdr:rowOff>104775</xdr:rowOff>
              </to>
            </anchor>
          </objectPr>
        </oleObject>
      </mc:Choice>
      <mc:Fallback>
        <oleObject progId="Equation.3" shapeId="1038" r:id="rId13"/>
      </mc:Fallback>
    </mc:AlternateContent>
    <mc:AlternateContent xmlns:mc="http://schemas.openxmlformats.org/markup-compatibility/2006">
      <mc:Choice Requires="x14">
        <oleObject progId="Equation.3" shapeId="1039" r:id="rId15">
          <objectPr defaultSize="0" r:id="rId16">
            <anchor moveWithCells="1" sizeWithCells="1">
              <from>
                <xdr:col>5</xdr:col>
                <xdr:colOff>114300</xdr:colOff>
                <xdr:row>107</xdr:row>
                <xdr:rowOff>76200</xdr:rowOff>
              </from>
              <to>
                <xdr:col>9</xdr:col>
                <xdr:colOff>352425</xdr:colOff>
                <xdr:row>112</xdr:row>
                <xdr:rowOff>19050</xdr:rowOff>
              </to>
            </anchor>
          </objectPr>
        </oleObject>
      </mc:Choice>
      <mc:Fallback>
        <oleObject progId="Equation.3" shapeId="1039" r:id="rId15"/>
      </mc:Fallback>
    </mc:AlternateContent>
    <mc:AlternateContent xmlns:mc="http://schemas.openxmlformats.org/markup-compatibility/2006">
      <mc:Choice Requires="x14">
        <oleObject progId="Equation.3" shapeId="1040" r:id="rId17">
          <objectPr defaultSize="0" r:id="rId18">
            <anchor moveWithCells="1" sizeWithCells="1">
              <from>
                <xdr:col>5</xdr:col>
                <xdr:colOff>161925</xdr:colOff>
                <xdr:row>112</xdr:row>
                <xdr:rowOff>85725</xdr:rowOff>
              </from>
              <to>
                <xdr:col>8</xdr:col>
                <xdr:colOff>247650</xdr:colOff>
                <xdr:row>115</xdr:row>
                <xdr:rowOff>133350</xdr:rowOff>
              </to>
            </anchor>
          </objectPr>
        </oleObject>
      </mc:Choice>
      <mc:Fallback>
        <oleObject progId="Equation.3" shapeId="1040" r:id="rId17"/>
      </mc:Fallback>
    </mc:AlternateContent>
    <mc:AlternateContent xmlns:mc="http://schemas.openxmlformats.org/markup-compatibility/2006">
      <mc:Choice Requires="x14">
        <oleObject progId="Equation.3" shapeId="1042" r:id="rId19">
          <objectPr defaultSize="0" r:id="rId20">
            <anchor moveWithCells="1" sizeWithCells="1">
              <from>
                <xdr:col>5</xdr:col>
                <xdr:colOff>190500</xdr:colOff>
                <xdr:row>118</xdr:row>
                <xdr:rowOff>0</xdr:rowOff>
              </from>
              <to>
                <xdr:col>6</xdr:col>
                <xdr:colOff>552450</xdr:colOff>
                <xdr:row>119</xdr:row>
                <xdr:rowOff>95250</xdr:rowOff>
              </to>
            </anchor>
          </objectPr>
        </oleObject>
      </mc:Choice>
      <mc:Fallback>
        <oleObject progId="Equation.3" shapeId="1042" r:id="rId19"/>
      </mc:Fallback>
    </mc:AlternateContent>
    <mc:AlternateContent xmlns:mc="http://schemas.openxmlformats.org/markup-compatibility/2006">
      <mc:Choice Requires="x14">
        <oleObject progId="Equation.3" shapeId="1060" r:id="rId21">
          <objectPr defaultSize="0" r:id="rId20">
            <anchor moveWithCells="1" sizeWithCells="1">
              <from>
                <xdr:col>4</xdr:col>
                <xdr:colOff>600075</xdr:colOff>
                <xdr:row>155</xdr:row>
                <xdr:rowOff>19050</xdr:rowOff>
              </from>
              <to>
                <xdr:col>6</xdr:col>
                <xdr:colOff>352425</xdr:colOff>
                <xdr:row>156</xdr:row>
                <xdr:rowOff>114300</xdr:rowOff>
              </to>
            </anchor>
          </objectPr>
        </oleObject>
      </mc:Choice>
      <mc:Fallback>
        <oleObject progId="Equation.3" shapeId="1060" r:id="rId21"/>
      </mc:Fallback>
    </mc:AlternateContent>
    <mc:AlternateContent xmlns:mc="http://schemas.openxmlformats.org/markup-compatibility/2006">
      <mc:Choice Requires="x14">
        <oleObject progId="Equation.3" shapeId="1061" r:id="rId22">
          <objectPr defaultSize="0" r:id="rId11">
            <anchor moveWithCells="1" sizeWithCells="1">
              <from>
                <xdr:col>5</xdr:col>
                <xdr:colOff>9525</xdr:colOff>
                <xdr:row>157</xdr:row>
                <xdr:rowOff>57150</xdr:rowOff>
              </from>
              <to>
                <xdr:col>7</xdr:col>
                <xdr:colOff>38100</xdr:colOff>
                <xdr:row>161</xdr:row>
                <xdr:rowOff>9525</xdr:rowOff>
              </to>
            </anchor>
          </objectPr>
        </oleObject>
      </mc:Choice>
      <mc:Fallback>
        <oleObject progId="Equation.3" shapeId="1061" r:id="rId22"/>
      </mc:Fallback>
    </mc:AlternateContent>
    <mc:AlternateContent xmlns:mc="http://schemas.openxmlformats.org/markup-compatibility/2006">
      <mc:Choice Requires="x14">
        <oleObject progId="Equation.3" shapeId="1032" r:id="rId23">
          <objectPr defaultSize="0" r:id="rId24">
            <anchor moveWithCells="1" sizeWithCells="1">
              <from>
                <xdr:col>4</xdr:col>
                <xdr:colOff>542925</xdr:colOff>
                <xdr:row>61</xdr:row>
                <xdr:rowOff>85725</xdr:rowOff>
              </from>
              <to>
                <xdr:col>7</xdr:col>
                <xdr:colOff>504825</xdr:colOff>
                <xdr:row>65</xdr:row>
                <xdr:rowOff>9525</xdr:rowOff>
              </to>
            </anchor>
          </objectPr>
        </oleObject>
      </mc:Choice>
      <mc:Fallback>
        <oleObject progId="Equation.3" shapeId="1032" r:id="rId23"/>
      </mc:Fallback>
    </mc:AlternateContent>
    <mc:AlternateContent xmlns:mc="http://schemas.openxmlformats.org/markup-compatibility/2006">
      <mc:Choice Requires="x14">
        <oleObject progId="Equation.3" shapeId="1033" r:id="rId25">
          <objectPr defaultSize="0" r:id="rId26">
            <anchor moveWithCells="1" sizeWithCells="1">
              <from>
                <xdr:col>5</xdr:col>
                <xdr:colOff>228600</xdr:colOff>
                <xdr:row>56</xdr:row>
                <xdr:rowOff>28575</xdr:rowOff>
              </from>
              <to>
                <xdr:col>12</xdr:col>
                <xdr:colOff>381000</xdr:colOff>
                <xdr:row>60</xdr:row>
                <xdr:rowOff>9525</xdr:rowOff>
              </to>
            </anchor>
          </objectPr>
        </oleObject>
      </mc:Choice>
      <mc:Fallback>
        <oleObject progId="Equation.3" shapeId="1033" r:id="rId2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30</vt:i4>
      </vt:variant>
    </vt:vector>
  </HeadingPairs>
  <TitlesOfParts>
    <vt:vector size="37" baseType="lpstr">
      <vt:lpstr>Enthalpy and Density</vt:lpstr>
      <vt:lpstr>Sheet3</vt:lpstr>
      <vt:lpstr>Answer Report 1</vt:lpstr>
      <vt:lpstr>Sensitivity Report 1</vt:lpstr>
      <vt:lpstr>Limits Report 1</vt:lpstr>
      <vt:lpstr>Answer Report 2</vt:lpstr>
      <vt:lpstr>Example 1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2024-01-27T01:50:41Z</dcterms:modified>
</cp:coreProperties>
</file>